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Шилин\Космос\"/>
    </mc:Choice>
  </mc:AlternateContent>
  <bookViews>
    <workbookView xWindow="0" yWindow="0" windowWidth="20490" windowHeight="7755" activeTab="3"/>
  </bookViews>
  <sheets>
    <sheet name="Отображение" sheetId="3" r:id="rId1"/>
    <sheet name="Расчет" sheetId="2" r:id="rId2"/>
    <sheet name="Распределение ХС" sheetId="4" r:id="rId3"/>
    <sheet name="Принятая конфигурация" sheetId="5" r:id="rId4"/>
  </sheets>
  <calcPr calcId="152511"/>
</workbook>
</file>

<file path=xl/calcChain.xml><?xml version="1.0" encoding="utf-8"?>
<calcChain xmlns="http://schemas.openxmlformats.org/spreadsheetml/2006/main">
  <c r="L42" i="5" l="1"/>
  <c r="T39" i="5"/>
  <c r="P42" i="5" l="1"/>
  <c r="O42" i="5"/>
  <c r="Q42" i="5"/>
  <c r="H52" i="5"/>
  <c r="K23" i="3"/>
  <c r="E57" i="5"/>
  <c r="E36" i="5"/>
  <c r="K6" i="3"/>
  <c r="Q9" i="5"/>
  <c r="N69" i="5"/>
  <c r="O69" i="5"/>
  <c r="L10" i="5"/>
  <c r="E40" i="5" s="1"/>
  <c r="E81" i="5"/>
  <c r="H72" i="5" s="1"/>
  <c r="R48" i="5"/>
  <c r="R47" i="5"/>
  <c r="K24" i="3"/>
  <c r="K18" i="3"/>
  <c r="E29" i="3"/>
  <c r="E28" i="3"/>
  <c r="E27" i="3"/>
  <c r="E21" i="3"/>
  <c r="E22" i="3"/>
  <c r="E23" i="3"/>
  <c r="E20" i="3"/>
  <c r="E19" i="3"/>
  <c r="E15" i="3"/>
  <c r="E14" i="3"/>
  <c r="E13" i="3"/>
  <c r="F71" i="5"/>
  <c r="F69" i="5"/>
  <c r="F68" i="5"/>
  <c r="H50" i="5"/>
  <c r="H49" i="5"/>
  <c r="E52" i="5" s="1"/>
  <c r="G42" i="5"/>
  <c r="K21" i="3"/>
  <c r="H31" i="5"/>
  <c r="H29" i="5"/>
  <c r="E31" i="5" s="1"/>
  <c r="H28" i="5"/>
  <c r="H11" i="5"/>
  <c r="E11" i="5"/>
  <c r="M122" i="4"/>
  <c r="K161" i="4"/>
  <c r="R122" i="4"/>
  <c r="Z152" i="4"/>
  <c r="X151" i="4"/>
  <c r="X149" i="4"/>
  <c r="X148" i="4"/>
  <c r="W132" i="4"/>
  <c r="Z130" i="4"/>
  <c r="Z129" i="4"/>
  <c r="Z132" i="4" s="1"/>
  <c r="W122" i="4"/>
  <c r="AD122" i="4" s="1"/>
  <c r="W120" i="4"/>
  <c r="AD110" i="4" s="1"/>
  <c r="W116" i="4"/>
  <c r="W137" i="4" s="1"/>
  <c r="Z111" i="4"/>
  <c r="W111" i="4"/>
  <c r="Z109" i="4"/>
  <c r="Z108" i="4"/>
  <c r="Y101" i="4"/>
  <c r="AD91" i="4"/>
  <c r="Y98" i="4" s="1"/>
  <c r="Z91" i="4"/>
  <c r="W91" i="4"/>
  <c r="AD90" i="4"/>
  <c r="Y99" i="4" s="1"/>
  <c r="N152" i="4"/>
  <c r="L151" i="4"/>
  <c r="L149" i="4"/>
  <c r="L148" i="4"/>
  <c r="K132" i="4"/>
  <c r="N130" i="4"/>
  <c r="N129" i="4"/>
  <c r="N132" i="4" s="1"/>
  <c r="K116" i="4"/>
  <c r="K137" i="4" s="1"/>
  <c r="N111" i="4"/>
  <c r="K111" i="4"/>
  <c r="N109" i="4"/>
  <c r="N108" i="4"/>
  <c r="N91" i="4"/>
  <c r="K91" i="4"/>
  <c r="R90" i="4"/>
  <c r="M99" i="4" s="1"/>
  <c r="AS71" i="4"/>
  <c r="AQ70" i="4"/>
  <c r="AQ68" i="4"/>
  <c r="AQ67" i="4"/>
  <c r="AP51" i="4"/>
  <c r="AS49" i="4"/>
  <c r="AS48" i="4"/>
  <c r="AS51" i="4" s="1"/>
  <c r="AP41" i="4"/>
  <c r="AW41" i="4" s="1"/>
  <c r="AP35" i="4"/>
  <c r="AP56" i="4" s="1"/>
  <c r="AS30" i="4"/>
  <c r="AP30" i="4"/>
  <c r="AS28" i="4"/>
  <c r="AS27" i="4"/>
  <c r="AS10" i="4"/>
  <c r="AP10" i="4"/>
  <c r="AW9" i="4"/>
  <c r="AR18" i="4" s="1"/>
  <c r="AG71" i="4"/>
  <c r="AE70" i="4"/>
  <c r="AE68" i="4"/>
  <c r="AE67" i="4"/>
  <c r="AD51" i="4"/>
  <c r="AG49" i="4"/>
  <c r="AG48" i="4"/>
  <c r="AG51" i="4" s="1"/>
  <c r="AD41" i="4"/>
  <c r="AK41" i="4" s="1"/>
  <c r="AD35" i="4"/>
  <c r="AD56" i="4" s="1"/>
  <c r="AG30" i="4"/>
  <c r="AD30" i="4"/>
  <c r="AG28" i="4"/>
  <c r="AG27" i="4"/>
  <c r="AG10" i="4"/>
  <c r="AD10" i="4"/>
  <c r="AK9" i="4"/>
  <c r="AF18" i="4" s="1"/>
  <c r="U71" i="4"/>
  <c r="S70" i="4"/>
  <c r="S68" i="4"/>
  <c r="S67" i="4"/>
  <c r="R51" i="4"/>
  <c r="U49" i="4"/>
  <c r="U48" i="4"/>
  <c r="U51" i="4" s="1"/>
  <c r="R41" i="4"/>
  <c r="Y41" i="4" s="1"/>
  <c r="R35" i="4"/>
  <c r="R56" i="4" s="1"/>
  <c r="R30" i="4"/>
  <c r="U28" i="4"/>
  <c r="U30" i="4" s="1"/>
  <c r="U27" i="4"/>
  <c r="U10" i="4"/>
  <c r="R10" i="4"/>
  <c r="Y9" i="4"/>
  <c r="T18" i="4" s="1"/>
  <c r="F35" i="4"/>
  <c r="F56" i="4" s="1"/>
  <c r="I71" i="4"/>
  <c r="G70" i="4"/>
  <c r="G68" i="4"/>
  <c r="G67" i="4"/>
  <c r="F51" i="4"/>
  <c r="I49" i="4"/>
  <c r="I48" i="4"/>
  <c r="I51" i="4" s="1"/>
  <c r="F41" i="4"/>
  <c r="M32" i="4" s="1"/>
  <c r="I30" i="4"/>
  <c r="I28" i="4"/>
  <c r="F30" i="4" s="1"/>
  <c r="I27" i="4"/>
  <c r="I10" i="4"/>
  <c r="F10" i="4"/>
  <c r="M9" i="4"/>
  <c r="H20" i="4" s="1"/>
  <c r="L30" i="5" l="1"/>
  <c r="E61" i="5" s="1"/>
  <c r="L51" i="5" s="1"/>
  <c r="L11" i="5"/>
  <c r="L13" i="5" s="1"/>
  <c r="G19" i="5"/>
  <c r="L33" i="5"/>
  <c r="G21" i="5"/>
  <c r="K120" i="4"/>
  <c r="R110" i="4" s="1"/>
  <c r="M119" i="4" s="1"/>
  <c r="R91" i="4"/>
  <c r="M98" i="4" s="1"/>
  <c r="M101" i="4"/>
  <c r="Y119" i="4"/>
  <c r="W141" i="4"/>
  <c r="AD131" i="4" s="1"/>
  <c r="AD112" i="4"/>
  <c r="Y121" i="4"/>
  <c r="Y118" i="4"/>
  <c r="AA118" i="4" s="1"/>
  <c r="AD113" i="4"/>
  <c r="R113" i="4"/>
  <c r="AP39" i="4"/>
  <c r="AW29" i="4" s="1"/>
  <c r="AR38" i="4" s="1"/>
  <c r="AW10" i="4"/>
  <c r="AR17" i="4" s="1"/>
  <c r="AR20" i="4"/>
  <c r="AF20" i="4"/>
  <c r="AD39" i="4"/>
  <c r="AK29" i="4" s="1"/>
  <c r="AF37" i="4" s="1"/>
  <c r="AH37" i="4" s="1"/>
  <c r="AK10" i="4"/>
  <c r="AF17" i="4" s="1"/>
  <c r="AW32" i="4"/>
  <c r="AK32" i="4"/>
  <c r="M10" i="4"/>
  <c r="H17" i="4" s="1"/>
  <c r="R39" i="4"/>
  <c r="Y29" i="4" s="1"/>
  <c r="Y10" i="4"/>
  <c r="T17" i="4" s="1"/>
  <c r="T20" i="4"/>
  <c r="Y32" i="4"/>
  <c r="M41" i="4"/>
  <c r="H18" i="4"/>
  <c r="F39" i="4"/>
  <c r="M29" i="4" s="1"/>
  <c r="I18" i="3"/>
  <c r="I19" i="3"/>
  <c r="I20" i="3" s="1"/>
  <c r="I21" i="3" s="1"/>
  <c r="I22" i="3" s="1"/>
  <c r="I23" i="3" s="1"/>
  <c r="I24" i="3" s="1"/>
  <c r="I17" i="3"/>
  <c r="I16" i="3"/>
  <c r="R42" i="5" l="1"/>
  <c r="S42" i="5"/>
  <c r="G38" i="5"/>
  <c r="I38" i="5" s="1"/>
  <c r="G41" i="5"/>
  <c r="G39" i="5"/>
  <c r="N13" i="5"/>
  <c r="K17" i="5"/>
  <c r="L17" i="5" s="1"/>
  <c r="K16" i="5"/>
  <c r="L16" i="5" s="1"/>
  <c r="L32" i="5"/>
  <c r="L35" i="5" s="1"/>
  <c r="G18" i="5"/>
  <c r="K22" i="3"/>
  <c r="E82" i="5"/>
  <c r="L72" i="5" s="1"/>
  <c r="G59" i="5"/>
  <c r="E80" i="5"/>
  <c r="G60" i="5"/>
  <c r="G62" i="5"/>
  <c r="L53" i="5"/>
  <c r="M118" i="4"/>
  <c r="O118" i="4" s="1"/>
  <c r="R112" i="4"/>
  <c r="K141" i="4"/>
  <c r="R131" i="4" s="1"/>
  <c r="M142" i="4" s="1"/>
  <c r="M121" i="4"/>
  <c r="W162" i="4"/>
  <c r="AD152" i="4" s="1"/>
  <c r="Y142" i="4"/>
  <c r="AD133" i="4"/>
  <c r="AD123" i="4" s="1"/>
  <c r="W160" i="4"/>
  <c r="AD150" i="4" s="1"/>
  <c r="Y140" i="4"/>
  <c r="Y139" i="4"/>
  <c r="AR40" i="4"/>
  <c r="AW31" i="4"/>
  <c r="AP60" i="4"/>
  <c r="AW50" i="4" s="1"/>
  <c r="AP79" i="4" s="1"/>
  <c r="AR37" i="4"/>
  <c r="AT37" i="4" s="1"/>
  <c r="AF40" i="4"/>
  <c r="AF38" i="4"/>
  <c r="AK31" i="4"/>
  <c r="AD60" i="4"/>
  <c r="AK50" i="4" s="1"/>
  <c r="AF61" i="4" s="1"/>
  <c r="T38" i="4"/>
  <c r="R60" i="4"/>
  <c r="Y50" i="4" s="1"/>
  <c r="Y31" i="4"/>
  <c r="T40" i="4"/>
  <c r="T37" i="4"/>
  <c r="V37" i="4" s="1"/>
  <c r="H40" i="4"/>
  <c r="H37" i="4"/>
  <c r="J37" i="4" s="1"/>
  <c r="H38" i="4"/>
  <c r="M31" i="4"/>
  <c r="F60" i="4"/>
  <c r="M50" i="4" s="1"/>
  <c r="K7" i="3"/>
  <c r="K8" i="3"/>
  <c r="N35" i="5" l="1"/>
  <c r="P29" i="5"/>
  <c r="Q29" i="5" s="1"/>
  <c r="P30" i="5"/>
  <c r="Q30" i="5" s="1"/>
  <c r="L43" i="5"/>
  <c r="L55" i="5"/>
  <c r="L70" i="5"/>
  <c r="K15" i="3" s="1"/>
  <c r="R133" i="4"/>
  <c r="R123" i="4" s="1"/>
  <c r="K162" i="4"/>
  <c r="R152" i="4" s="1"/>
  <c r="K160" i="4"/>
  <c r="M140" i="4"/>
  <c r="M139" i="4"/>
  <c r="Y158" i="4"/>
  <c r="Y161" i="4"/>
  <c r="Y159" i="4"/>
  <c r="AD151" i="4"/>
  <c r="AR58" i="4"/>
  <c r="AW52" i="4"/>
  <c r="AW42" i="4" s="1"/>
  <c r="AR61" i="4"/>
  <c r="AR59" i="4"/>
  <c r="AP81" i="4"/>
  <c r="AW71" i="4" s="1"/>
  <c r="AD81" i="4"/>
  <c r="AK71" i="4" s="1"/>
  <c r="AF58" i="4"/>
  <c r="AF59" i="4"/>
  <c r="AD79" i="4"/>
  <c r="AK52" i="4"/>
  <c r="AK42" i="4" s="1"/>
  <c r="R81" i="4"/>
  <c r="Y71" i="4" s="1"/>
  <c r="T61" i="4"/>
  <c r="Y52" i="4"/>
  <c r="Y42" i="4" s="1"/>
  <c r="R79" i="4"/>
  <c r="T59" i="4"/>
  <c r="T58" i="4"/>
  <c r="F79" i="4"/>
  <c r="H59" i="4"/>
  <c r="H58" i="4"/>
  <c r="F81" i="4"/>
  <c r="M71" i="4" s="1"/>
  <c r="H61" i="4"/>
  <c r="M52" i="4"/>
  <c r="M42" i="4" s="1"/>
  <c r="N55" i="5" l="1"/>
  <c r="Q53" i="5"/>
  <c r="R53" i="5" s="1"/>
  <c r="Q54" i="5"/>
  <c r="R54" i="5" s="1"/>
  <c r="Q52" i="5"/>
  <c r="R52" i="5" s="1"/>
  <c r="G81" i="5"/>
  <c r="L71" i="5"/>
  <c r="L74" i="5" s="1"/>
  <c r="G78" i="5"/>
  <c r="G79" i="5"/>
  <c r="K20" i="3"/>
  <c r="K19" i="3"/>
  <c r="R150" i="4"/>
  <c r="M158" i="4" s="1"/>
  <c r="AW69" i="4"/>
  <c r="AR77" i="4" s="1"/>
  <c r="AK69" i="4"/>
  <c r="AF77" i="4" s="1"/>
  <c r="Y69" i="4"/>
  <c r="T78" i="4" s="1"/>
  <c r="M69" i="4"/>
  <c r="L40" i="2"/>
  <c r="L39" i="2"/>
  <c r="H69" i="2"/>
  <c r="L69" i="2"/>
  <c r="L67" i="2"/>
  <c r="L68" i="2"/>
  <c r="E79" i="2"/>
  <c r="E39" i="2"/>
  <c r="H49" i="2"/>
  <c r="H28" i="2"/>
  <c r="L30" i="2"/>
  <c r="F68" i="2"/>
  <c r="F66" i="2"/>
  <c r="F65" i="2"/>
  <c r="E49" i="2"/>
  <c r="E54" i="2"/>
  <c r="H47" i="2"/>
  <c r="H46" i="2"/>
  <c r="E28" i="2"/>
  <c r="H26" i="2"/>
  <c r="H25" i="2"/>
  <c r="H8" i="2"/>
  <c r="L7" i="2"/>
  <c r="L8" i="2"/>
  <c r="G15" i="2"/>
  <c r="E8" i="2"/>
  <c r="G18" i="2"/>
  <c r="E37" i="2"/>
  <c r="L27" i="2"/>
  <c r="L29" i="2"/>
  <c r="G16" i="2"/>
  <c r="G38" i="2"/>
  <c r="G35" i="2"/>
  <c r="I35" i="2"/>
  <c r="G36" i="2"/>
  <c r="E58" i="2"/>
  <c r="L48" i="2"/>
  <c r="E77" i="2"/>
  <c r="G78" i="2"/>
  <c r="G59" i="2"/>
  <c r="G57" i="2"/>
  <c r="L50" i="2"/>
  <c r="G75" i="2"/>
  <c r="G56" i="2"/>
  <c r="G76" i="2"/>
  <c r="T38" i="5" l="1"/>
  <c r="N74" i="5"/>
  <c r="K79" i="5"/>
  <c r="L79" i="5" s="1"/>
  <c r="K78" i="5"/>
  <c r="L78" i="5" s="1"/>
  <c r="K17" i="3"/>
  <c r="K16" i="3"/>
  <c r="R151" i="4"/>
  <c r="M159" i="4"/>
  <c r="M161" i="4"/>
  <c r="AR80" i="4"/>
  <c r="AR78" i="4"/>
  <c r="AW70" i="4"/>
  <c r="AF80" i="4"/>
  <c r="AK70" i="4"/>
  <c r="AF78" i="4"/>
  <c r="T80" i="4"/>
  <c r="T77" i="4"/>
  <c r="Y70" i="4"/>
  <c r="H78" i="4"/>
  <c r="M70" i="4"/>
  <c r="H77" i="4"/>
  <c r="H80" i="4"/>
  <c r="O81" i="5" l="1"/>
  <c r="O82" i="5" s="1"/>
</calcChain>
</file>

<file path=xl/sharedStrings.xml><?xml version="1.0" encoding="utf-8"?>
<sst xmlns="http://schemas.openxmlformats.org/spreadsheetml/2006/main" count="1421" uniqueCount="119">
  <si>
    <t>Масса</t>
  </si>
  <si>
    <t>м/с</t>
  </si>
  <si>
    <t>кг</t>
  </si>
  <si>
    <t>3 ступень, довыведения.</t>
  </si>
  <si>
    <t>Двигатель уровня РД0124</t>
  </si>
  <si>
    <t>Вакуумный УИ</t>
  </si>
  <si>
    <t>с</t>
  </si>
  <si>
    <t>Тяга</t>
  </si>
  <si>
    <t>кН</t>
  </si>
  <si>
    <t>кгс</t>
  </si>
  <si>
    <t>удельная мощность</t>
  </si>
  <si>
    <t>весовое совершенство баков</t>
  </si>
  <si>
    <t>Вес системы управления</t>
  </si>
  <si>
    <t>Удельная масса системы ориентации</t>
  </si>
  <si>
    <t>Стартовая тяговооруженность</t>
  </si>
  <si>
    <t>Запас ХС</t>
  </si>
  <si>
    <t>е=</t>
  </si>
  <si>
    <t>g=</t>
  </si>
  <si>
    <t>V=IspLn(M1/M2)</t>
  </si>
  <si>
    <t>M1/M2=e^(V/Isp)</t>
  </si>
  <si>
    <t>M1=M2*e^(V/Isp)</t>
  </si>
  <si>
    <t>Масса баков=</t>
  </si>
  <si>
    <t>Масса системы ориентации=</t>
  </si>
  <si>
    <t>Масса ПН=</t>
  </si>
  <si>
    <t>М стартовая=</t>
  </si>
  <si>
    <t>Масса двигателя=</t>
  </si>
  <si>
    <t>проверка</t>
  </si>
  <si>
    <t>Мтоплива=</t>
  </si>
  <si>
    <t>тяга факт</t>
  </si>
  <si>
    <t>Двигатель уровня РД-701</t>
  </si>
  <si>
    <t>Тяга, трехкомпонентный режим</t>
  </si>
  <si>
    <t>УИ, трехкомпонентный режим</t>
  </si>
  <si>
    <t>УИ, двухкомпонентный режим</t>
  </si>
  <si>
    <t>Тяга, двухкомпонентный режим</t>
  </si>
  <si>
    <t>Удельная мощность</t>
  </si>
  <si>
    <t>2 ступень, разгонная, двухкомпонентный режим</t>
  </si>
  <si>
    <t>2 ступень, разгонная, трехкомпонентный режим</t>
  </si>
  <si>
    <t>остаток на трехкомпонентный режим</t>
  </si>
  <si>
    <t>входит в массу ПН</t>
  </si>
  <si>
    <t>1 ступень, взлетная</t>
  </si>
  <si>
    <t>Двигатель уровня РД-170</t>
  </si>
  <si>
    <t>УИ при взлете с поверхности, усредненный</t>
  </si>
  <si>
    <t>Тяга при взлете</t>
  </si>
  <si>
    <t>Сухая масса ступени=</t>
  </si>
  <si>
    <t>Мсухая ступени=</t>
  </si>
  <si>
    <t>Масса планера глайдера=</t>
  </si>
  <si>
    <t>масса глайдера=</t>
  </si>
  <si>
    <t>масса топлива в баках=</t>
  </si>
  <si>
    <t>Масса обтекателя-ложемента=</t>
  </si>
  <si>
    <t>Легенда:</t>
  </si>
  <si>
    <t>расчетные данные</t>
  </si>
  <si>
    <t>константы</t>
  </si>
  <si>
    <t>вносимые исходные данные</t>
  </si>
  <si>
    <t>расчетные параметры для проверки внесенных данных</t>
  </si>
  <si>
    <t>подбираемые итеративно данные</t>
  </si>
  <si>
    <t>№№</t>
  </si>
  <si>
    <t>Ракета-носитель</t>
  </si>
  <si>
    <t>Исходные данные</t>
  </si>
  <si>
    <t>Физичееские константы</t>
  </si>
  <si>
    <t>Значение</t>
  </si>
  <si>
    <t>размерность</t>
  </si>
  <si>
    <t>g, ускорение свободного падения</t>
  </si>
  <si>
    <t>м/с^2</t>
  </si>
  <si>
    <t>e, основание натурального логарифма</t>
  </si>
  <si>
    <t>Двигателя - эталоны</t>
  </si>
  <si>
    <t>топливо</t>
  </si>
  <si>
    <t>Масса залитого</t>
  </si>
  <si>
    <t>Двигатель второй ступени  РД-701</t>
  </si>
  <si>
    <t>Двигатель первой ступени  РД-170</t>
  </si>
  <si>
    <t>окислитель жидкий кислород, горючее керосин</t>
  </si>
  <si>
    <t>окислитель жидкий кислород, горючее водород или керосин с водородом</t>
  </si>
  <si>
    <t>УИ в трехкомпонентном режиме</t>
  </si>
  <si>
    <t>УИ в двухкомпонентном режиме</t>
  </si>
  <si>
    <t>Тяга трехкомпонентный режим</t>
  </si>
  <si>
    <t>Тяга двухкомпонентный режим</t>
  </si>
  <si>
    <t>Двигатель третьей ступени РД-0124</t>
  </si>
  <si>
    <t>Удельный Импульс</t>
  </si>
  <si>
    <t>Задаваемые параметры</t>
  </si>
  <si>
    <t>Параметр</t>
  </si>
  <si>
    <t>масса ПН</t>
  </si>
  <si>
    <t>Потребная ХС для стартовой ступени, обеспечивающая выход носителя из атмосферы и подъем на высоту орбиты, возврат стартовой ступени</t>
  </si>
  <si>
    <t>Потребная ХС для вывода ПН</t>
  </si>
  <si>
    <t>Расчетные параметры</t>
  </si>
  <si>
    <t>масса топлива первой ступени</t>
  </si>
  <si>
    <t>масса топлива второй ступени</t>
  </si>
  <si>
    <t>масса топлива третьей ступени</t>
  </si>
  <si>
    <t>начальная масса первой ступени</t>
  </si>
  <si>
    <t>начальная масса второй ступени</t>
  </si>
  <si>
    <t>начальная масса третьей ступени</t>
  </si>
  <si>
    <t>Запас ХС первой ступени</t>
  </si>
  <si>
    <t>Запас ХС второй ступени</t>
  </si>
  <si>
    <t>Запас ХС третьей ступени</t>
  </si>
  <si>
    <t>масса стартовая ракеты космического назначения</t>
  </si>
  <si>
    <t>расход топлива</t>
  </si>
  <si>
    <t>кислород</t>
  </si>
  <si>
    <t>кг/с</t>
  </si>
  <si>
    <t>водород</t>
  </si>
  <si>
    <t>керосин</t>
  </si>
  <si>
    <t>секундный расход</t>
  </si>
  <si>
    <t>Время работы без учета розжига и гашения =</t>
  </si>
  <si>
    <t>мин</t>
  </si>
  <si>
    <t>соотношение компонентов</t>
  </si>
  <si>
    <t>Кислород</t>
  </si>
  <si>
    <t>Керосин</t>
  </si>
  <si>
    <t>масса</t>
  </si>
  <si>
    <t>объем</t>
  </si>
  <si>
    <t>Пл. кислород=</t>
  </si>
  <si>
    <t>Пл. керосин=</t>
  </si>
  <si>
    <t>Пл. водород=</t>
  </si>
  <si>
    <t>Водород</t>
  </si>
  <si>
    <t>Общий объем баков первой ступени, куб.м =</t>
  </si>
  <si>
    <t>Объем с 5% резервом, куб.м =</t>
  </si>
  <si>
    <t xml:space="preserve">Общий объем навесного топливного бака глайдера, куб.м = </t>
  </si>
  <si>
    <t>Объем навесного бака с 5% резервом, куб.м =</t>
  </si>
  <si>
    <t>Число Пи=</t>
  </si>
  <si>
    <t>V=Пи*r^2*h+4/3*Пи*r^3=Пи*r^2(h+4/3*r)</t>
  </si>
  <si>
    <t>h=V/(Пи*r^2)-4/3*r</t>
  </si>
  <si>
    <t>r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</si>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</sst>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\ _₽"/>
  </numFmts>
  <fonts count="1" x14ac:knownFonts="1"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7" borderId="0" xfId="0" applyNumberFormat="1" applyFill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0" xfId="0" applyFill="1"/>
    <xf numFmtId="0" fontId="0" fillId="0" borderId="0" xfId="0" applyNumberFormat="1" applyFill="1"/>
    <xf numFmtId="2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9"/>
  <sheetViews>
    <sheetView topLeftCell="B10" workbookViewId="0">
      <selection activeCell="K24" sqref="K24"/>
    </sheetView>
  </sheetViews>
  <sheetFormatPr defaultRowHeight="12.75" x14ac:dyDescent="0.2"/>
  <cols>
    <col min="4" max="4" width="24.28515625" customWidth="1"/>
    <col min="5" max="5" width="26.85546875" customWidth="1"/>
    <col min="6" max="6" width="13" customWidth="1"/>
    <col min="10" max="10" width="41.140625" customWidth="1"/>
    <col min="11" max="11" width="16.42578125" customWidth="1"/>
    <col min="12" max="12" width="14.28515625" customWidth="1"/>
  </cols>
  <sheetData>
    <row r="3" spans="3:12" x14ac:dyDescent="0.2">
      <c r="C3" s="18" t="s">
        <v>56</v>
      </c>
      <c r="D3" s="18"/>
      <c r="E3" s="18"/>
      <c r="F3" s="18"/>
      <c r="I3" s="18" t="s">
        <v>56</v>
      </c>
      <c r="J3" s="18"/>
      <c r="K3" s="18"/>
      <c r="L3" s="18"/>
    </row>
    <row r="4" spans="3:12" x14ac:dyDescent="0.2">
      <c r="C4" s="18" t="s">
        <v>57</v>
      </c>
      <c r="D4" s="18"/>
      <c r="E4" s="18"/>
      <c r="F4" s="18"/>
      <c r="I4" s="18" t="s">
        <v>77</v>
      </c>
      <c r="J4" s="18"/>
      <c r="K4" s="18"/>
      <c r="L4" s="18"/>
    </row>
    <row r="5" spans="3:12" x14ac:dyDescent="0.2">
      <c r="C5" s="10" t="s">
        <v>55</v>
      </c>
      <c r="D5" s="10" t="s">
        <v>58</v>
      </c>
      <c r="E5" s="10" t="s">
        <v>59</v>
      </c>
      <c r="F5" s="10" t="s">
        <v>60</v>
      </c>
      <c r="I5" s="10" t="s">
        <v>55</v>
      </c>
      <c r="J5" s="10" t="s">
        <v>78</v>
      </c>
      <c r="K5" s="10" t="s">
        <v>59</v>
      </c>
      <c r="L5" s="10" t="s">
        <v>60</v>
      </c>
    </row>
    <row r="6" spans="3:12" ht="25.5" customHeight="1" x14ac:dyDescent="0.2">
      <c r="C6" s="10">
        <v>1</v>
      </c>
      <c r="D6" s="11" t="s">
        <v>61</v>
      </c>
      <c r="E6" s="11">
        <v>9.81</v>
      </c>
      <c r="F6" s="10" t="s">
        <v>62</v>
      </c>
      <c r="I6" s="10">
        <v>1</v>
      </c>
      <c r="J6" s="11" t="s">
        <v>79</v>
      </c>
      <c r="K6" s="11">
        <f>'Принятая конфигурация'!E20</f>
        <v>50000</v>
      </c>
      <c r="L6" s="10" t="s">
        <v>2</v>
      </c>
    </row>
    <row r="7" spans="3:12" ht="25.5" x14ac:dyDescent="0.2">
      <c r="C7" s="10">
        <v>2</v>
      </c>
      <c r="D7" s="11" t="s">
        <v>63</v>
      </c>
      <c r="E7" s="11">
        <v>2.71</v>
      </c>
      <c r="F7" s="10"/>
      <c r="I7" s="10">
        <v>2</v>
      </c>
      <c r="J7" s="11" t="s">
        <v>81</v>
      </c>
      <c r="K7" s="11">
        <f>Расчет!E54+Расчет!E33+Расчет!E13</f>
        <v>7800</v>
      </c>
      <c r="L7" s="10" t="s">
        <v>1</v>
      </c>
    </row>
    <row r="8" spans="3:12" ht="51" x14ac:dyDescent="0.2">
      <c r="C8" s="10"/>
      <c r="D8" s="11"/>
      <c r="E8" s="11"/>
      <c r="F8" s="10"/>
      <c r="I8" s="10">
        <v>3</v>
      </c>
      <c r="J8" s="11" t="s">
        <v>80</v>
      </c>
      <c r="K8" s="11">
        <f>Расчет!E73</f>
        <v>2400</v>
      </c>
      <c r="L8" s="10" t="s">
        <v>1</v>
      </c>
    </row>
    <row r="9" spans="3:12" x14ac:dyDescent="0.2">
      <c r="C9" s="10"/>
      <c r="D9" s="11"/>
      <c r="E9" s="11"/>
      <c r="F9" s="10"/>
      <c r="I9" s="10"/>
      <c r="J9" s="11"/>
      <c r="K9" s="11"/>
      <c r="L9" s="10"/>
    </row>
    <row r="10" spans="3:12" x14ac:dyDescent="0.2">
      <c r="C10" s="17" t="s">
        <v>64</v>
      </c>
      <c r="D10" s="17"/>
      <c r="E10" s="17"/>
      <c r="F10" s="17"/>
    </row>
    <row r="11" spans="3:12" ht="25.5" customHeight="1" x14ac:dyDescent="0.2">
      <c r="C11" s="10">
        <v>3</v>
      </c>
      <c r="D11" s="17" t="s">
        <v>68</v>
      </c>
      <c r="E11" s="17"/>
      <c r="F11" s="17"/>
    </row>
    <row r="12" spans="3:12" ht="25.5" x14ac:dyDescent="0.2">
      <c r="C12" s="10"/>
      <c r="D12" s="11" t="s">
        <v>65</v>
      </c>
      <c r="E12" s="11" t="s">
        <v>69</v>
      </c>
      <c r="F12" s="10"/>
      <c r="I12" s="18" t="s">
        <v>56</v>
      </c>
      <c r="J12" s="18"/>
      <c r="K12" s="18"/>
      <c r="L12" s="18"/>
    </row>
    <row r="13" spans="3:12" ht="26.25" customHeight="1" x14ac:dyDescent="0.2">
      <c r="C13" s="10"/>
      <c r="D13" s="11" t="s">
        <v>41</v>
      </c>
      <c r="E13" s="11">
        <f>'Принятая конфигурация'!F68</f>
        <v>3139.2000000000003</v>
      </c>
      <c r="F13" s="10" t="s">
        <v>1</v>
      </c>
      <c r="I13" s="18" t="s">
        <v>82</v>
      </c>
      <c r="J13" s="18"/>
      <c r="K13" s="18"/>
      <c r="L13" s="18"/>
    </row>
    <row r="14" spans="3:12" x14ac:dyDescent="0.2">
      <c r="C14" s="10"/>
      <c r="D14" s="10" t="s">
        <v>42</v>
      </c>
      <c r="E14" s="11">
        <f>'Принятая конфигурация'!F69</f>
        <v>7259.4000000000005</v>
      </c>
      <c r="F14" s="10" t="s">
        <v>8</v>
      </c>
      <c r="I14" s="10" t="s">
        <v>55</v>
      </c>
      <c r="J14" s="10" t="s">
        <v>78</v>
      </c>
      <c r="K14" s="10" t="s">
        <v>59</v>
      </c>
      <c r="L14" s="10" t="s">
        <v>60</v>
      </c>
    </row>
    <row r="15" spans="3:12" ht="25.5" x14ac:dyDescent="0.2">
      <c r="C15" s="10"/>
      <c r="D15" s="11" t="s">
        <v>66</v>
      </c>
      <c r="E15" s="11">
        <f>'Принятая конфигурация'!F70</f>
        <v>10750</v>
      </c>
      <c r="F15" s="10" t="s">
        <v>2</v>
      </c>
      <c r="I15" s="10">
        <v>1</v>
      </c>
      <c r="J15" s="11" t="s">
        <v>92</v>
      </c>
      <c r="K15" s="12">
        <f>'Принятая конфигурация'!L70</f>
        <v>997187.92268970446</v>
      </c>
      <c r="L15" s="10" t="s">
        <v>2</v>
      </c>
    </row>
    <row r="16" spans="3:12" x14ac:dyDescent="0.2">
      <c r="C16" s="10"/>
      <c r="D16" s="11"/>
      <c r="E16" s="11"/>
      <c r="F16" s="10"/>
      <c r="I16" s="10">
        <f>I15+1</f>
        <v>2</v>
      </c>
      <c r="J16" s="11" t="s">
        <v>86</v>
      </c>
      <c r="K16" s="13">
        <f>'Принятая конфигурация'!L72+'Принятая конфигурация'!L71</f>
        <v>622121.58259240724</v>
      </c>
      <c r="L16" s="10" t="s">
        <v>2</v>
      </c>
    </row>
    <row r="17" spans="3:12" ht="25.5" customHeight="1" x14ac:dyDescent="0.2">
      <c r="C17" s="10">
        <v>4</v>
      </c>
      <c r="D17" s="17" t="s">
        <v>67</v>
      </c>
      <c r="E17" s="17"/>
      <c r="F17" s="17"/>
      <c r="I17" s="10">
        <f t="shared" ref="I17:I24" si="0">I16+1</f>
        <v>3</v>
      </c>
      <c r="J17" s="11" t="s">
        <v>83</v>
      </c>
      <c r="K17" s="13">
        <f>'Принятая конфигурация'!L71</f>
        <v>531858.26558754244</v>
      </c>
      <c r="L17" s="10" t="s">
        <v>2</v>
      </c>
    </row>
    <row r="18" spans="3:12" ht="38.25" x14ac:dyDescent="0.2">
      <c r="C18" s="10"/>
      <c r="D18" s="11" t="s">
        <v>65</v>
      </c>
      <c r="E18" s="11" t="s">
        <v>70</v>
      </c>
      <c r="F18" s="10"/>
      <c r="I18" s="10">
        <f t="shared" si="0"/>
        <v>4</v>
      </c>
      <c r="J18" s="11" t="s">
        <v>89</v>
      </c>
      <c r="K18" s="13">
        <f>'Принятая конфигурация'!E76</f>
        <v>2400</v>
      </c>
      <c r="L18" s="10" t="s">
        <v>1</v>
      </c>
    </row>
    <row r="19" spans="3:12" ht="25.5" x14ac:dyDescent="0.2">
      <c r="C19" s="10"/>
      <c r="D19" s="11" t="s">
        <v>71</v>
      </c>
      <c r="E19" s="11">
        <f>'Принятая конфигурация'!F26</f>
        <v>4071</v>
      </c>
      <c r="F19" s="10" t="s">
        <v>1</v>
      </c>
      <c r="I19" s="10">
        <f t="shared" si="0"/>
        <v>5</v>
      </c>
      <c r="J19" s="11" t="s">
        <v>87</v>
      </c>
      <c r="K19" s="13">
        <f>'Принятая конфигурация'!L42+'Принятая конфигурация'!L43+'Принятая конфигурация'!E38</f>
        <v>325275.5900972971</v>
      </c>
      <c r="L19" s="10" t="s">
        <v>2</v>
      </c>
    </row>
    <row r="20" spans="3:12" ht="25.5" x14ac:dyDescent="0.2">
      <c r="C20" s="10"/>
      <c r="D20" s="11" t="s">
        <v>72</v>
      </c>
      <c r="E20" s="11">
        <f>'Принятая конфигурация'!F27</f>
        <v>4532</v>
      </c>
      <c r="F20" s="10" t="s">
        <v>1</v>
      </c>
      <c r="I20" s="10">
        <f t="shared" si="0"/>
        <v>6</v>
      </c>
      <c r="J20" s="11" t="s">
        <v>84</v>
      </c>
      <c r="K20" s="13">
        <f>'Принятая конфигурация'!L43</f>
        <v>308362.5900972971</v>
      </c>
      <c r="L20" s="10" t="s">
        <v>2</v>
      </c>
    </row>
    <row r="21" spans="3:12" ht="25.5" x14ac:dyDescent="0.2">
      <c r="C21" s="10"/>
      <c r="D21" s="11" t="s">
        <v>73</v>
      </c>
      <c r="E21" s="11">
        <f>'Принятая конфигурация'!F28</f>
        <v>4001.2</v>
      </c>
      <c r="F21" s="10" t="s">
        <v>8</v>
      </c>
      <c r="I21" s="10">
        <f t="shared" si="0"/>
        <v>7</v>
      </c>
      <c r="J21" s="11" t="s">
        <v>90</v>
      </c>
      <c r="K21" s="13">
        <f>'Принятая конфигурация'!E57+'Принятая конфигурация'!E36</f>
        <v>7850</v>
      </c>
      <c r="L21" s="10" t="s">
        <v>1</v>
      </c>
    </row>
    <row r="22" spans="3:12" ht="25.5" x14ac:dyDescent="0.2">
      <c r="C22" s="10"/>
      <c r="D22" s="11" t="s">
        <v>74</v>
      </c>
      <c r="E22" s="11">
        <f>'Принятая конфигурация'!F29</f>
        <v>1569</v>
      </c>
      <c r="F22" s="10" t="s">
        <v>8</v>
      </c>
      <c r="I22" s="10">
        <f t="shared" si="0"/>
        <v>8</v>
      </c>
      <c r="J22" s="11" t="s">
        <v>88</v>
      </c>
      <c r="K22" s="13">
        <f>'Принятая конфигурация'!E21+'Принятая конфигурация'!E19+'Принятая конфигурация'!E18+'Принятая конфигурация'!L11</f>
        <v>0</v>
      </c>
      <c r="L22" s="10" t="s">
        <v>2</v>
      </c>
    </row>
    <row r="23" spans="3:12" x14ac:dyDescent="0.2">
      <c r="C23" s="10"/>
      <c r="D23" s="11" t="s">
        <v>0</v>
      </c>
      <c r="E23" s="11">
        <f>'Принятая конфигурация'!F30</f>
        <v>1923</v>
      </c>
      <c r="F23" s="10" t="s">
        <v>2</v>
      </c>
      <c r="I23" s="10">
        <f t="shared" si="0"/>
        <v>9</v>
      </c>
      <c r="J23" s="11" t="s">
        <v>85</v>
      </c>
      <c r="K23" s="13">
        <f>'Принятая конфигурация'!L11</f>
        <v>0</v>
      </c>
      <c r="L23" s="10" t="s">
        <v>2</v>
      </c>
    </row>
    <row r="24" spans="3:12" x14ac:dyDescent="0.2">
      <c r="C24" s="10"/>
      <c r="D24" s="11"/>
      <c r="E24" s="10"/>
      <c r="F24" s="10"/>
      <c r="I24" s="10">
        <f t="shared" si="0"/>
        <v>10</v>
      </c>
      <c r="J24" s="11" t="s">
        <v>91</v>
      </c>
      <c r="K24" s="13">
        <f>'Принятая конфигурация'!E16</f>
        <v>0</v>
      </c>
      <c r="L24" s="10" t="s">
        <v>1</v>
      </c>
    </row>
    <row r="25" spans="3:12" ht="25.5" customHeight="1" x14ac:dyDescent="0.2">
      <c r="C25" s="10">
        <v>5</v>
      </c>
      <c r="D25" s="17" t="s">
        <v>75</v>
      </c>
      <c r="E25" s="17"/>
      <c r="F25" s="17"/>
    </row>
    <row r="26" spans="3:12" ht="25.5" x14ac:dyDescent="0.2">
      <c r="C26" s="10"/>
      <c r="D26" s="11" t="s">
        <v>65</v>
      </c>
      <c r="E26" s="11" t="s">
        <v>69</v>
      </c>
      <c r="F26" s="10"/>
    </row>
    <row r="27" spans="3:12" x14ac:dyDescent="0.2">
      <c r="C27" s="10"/>
      <c r="D27" s="11" t="s">
        <v>76</v>
      </c>
      <c r="E27" s="10">
        <f>'Принятая конфигурация'!E8</f>
        <v>3521.8</v>
      </c>
      <c r="F27" s="10" t="s">
        <v>1</v>
      </c>
    </row>
    <row r="28" spans="3:12" x14ac:dyDescent="0.2">
      <c r="C28" s="10"/>
      <c r="D28" s="11" t="s">
        <v>7</v>
      </c>
      <c r="E28" s="10">
        <f>'Принятая конфигурация'!E9</f>
        <v>294.3</v>
      </c>
      <c r="F28" s="10" t="s">
        <v>8</v>
      </c>
    </row>
    <row r="29" spans="3:12" x14ac:dyDescent="0.2">
      <c r="C29" s="10"/>
      <c r="D29" s="11" t="s">
        <v>0</v>
      </c>
      <c r="E29" s="10">
        <f>'Принятая конфигурация'!E10</f>
        <v>572</v>
      </c>
      <c r="F29" s="10" t="s">
        <v>2</v>
      </c>
    </row>
  </sheetData>
  <mergeCells count="10">
    <mergeCell ref="D17:F17"/>
    <mergeCell ref="D25:F25"/>
    <mergeCell ref="I3:L3"/>
    <mergeCell ref="I4:L4"/>
    <mergeCell ref="I12:L12"/>
    <mergeCell ref="I13:L13"/>
    <mergeCell ref="C3:F3"/>
    <mergeCell ref="C4:F4"/>
    <mergeCell ref="C10:F10"/>
    <mergeCell ref="D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79"/>
  <sheetViews>
    <sheetView topLeftCell="A66" workbookViewId="0">
      <selection activeCell="B79" sqref="B1:M79"/>
    </sheetView>
  </sheetViews>
  <sheetFormatPr defaultRowHeight="12.75" x14ac:dyDescent="0.2"/>
  <sheetData>
    <row r="2" spans="3:18" x14ac:dyDescent="0.2">
      <c r="H2" t="s">
        <v>16</v>
      </c>
      <c r="I2" s="8">
        <v>2.71</v>
      </c>
      <c r="K2" t="s">
        <v>18</v>
      </c>
      <c r="N2" s="19" t="s">
        <v>49</v>
      </c>
      <c r="O2" s="19"/>
      <c r="P2" s="19"/>
      <c r="Q2" s="19"/>
      <c r="R2" s="19"/>
    </row>
    <row r="3" spans="3:18" x14ac:dyDescent="0.2">
      <c r="C3" t="s">
        <v>3</v>
      </c>
      <c r="H3" t="s">
        <v>17</v>
      </c>
      <c r="I3" s="8">
        <v>9.81</v>
      </c>
      <c r="K3" t="s">
        <v>19</v>
      </c>
      <c r="N3" s="3"/>
      <c r="O3" t="s">
        <v>51</v>
      </c>
    </row>
    <row r="4" spans="3:18" x14ac:dyDescent="0.2">
      <c r="C4" t="s">
        <v>4</v>
      </c>
      <c r="K4" t="s">
        <v>20</v>
      </c>
      <c r="N4" s="5"/>
      <c r="O4" t="s">
        <v>52</v>
      </c>
    </row>
    <row r="5" spans="3:18" x14ac:dyDescent="0.2">
      <c r="C5" t="s">
        <v>5</v>
      </c>
      <c r="E5" s="5">
        <v>3521.8</v>
      </c>
      <c r="F5" t="s">
        <v>1</v>
      </c>
      <c r="G5">
        <v>359</v>
      </c>
      <c r="H5" t="s">
        <v>6</v>
      </c>
      <c r="N5" s="2"/>
      <c r="O5" t="s">
        <v>50</v>
      </c>
    </row>
    <row r="6" spans="3:18" x14ac:dyDescent="0.2">
      <c r="C6" t="s">
        <v>7</v>
      </c>
      <c r="E6" s="5">
        <v>294.3</v>
      </c>
      <c r="F6" t="s">
        <v>8</v>
      </c>
      <c r="G6">
        <v>30000</v>
      </c>
      <c r="H6" t="s">
        <v>9</v>
      </c>
      <c r="N6" s="6"/>
      <c r="O6" t="s">
        <v>53</v>
      </c>
    </row>
    <row r="7" spans="3:18" x14ac:dyDescent="0.2">
      <c r="C7" t="s">
        <v>0</v>
      </c>
      <c r="E7" s="5">
        <v>572</v>
      </c>
      <c r="F7" t="s">
        <v>2</v>
      </c>
      <c r="J7" t="s">
        <v>24</v>
      </c>
      <c r="L7" s="2">
        <f>(E17+E16+E15+E10+E18)*I2^(E13/E5)</f>
        <v>106318.06551532203</v>
      </c>
      <c r="N7" s="7"/>
      <c r="O7" t="s">
        <v>54</v>
      </c>
    </row>
    <row r="8" spans="3:18" x14ac:dyDescent="0.2">
      <c r="C8" t="s">
        <v>10</v>
      </c>
      <c r="E8" s="2">
        <f>G6/E7</f>
        <v>52.447552447552447</v>
      </c>
      <c r="G8" t="s">
        <v>28</v>
      </c>
      <c r="H8" s="6">
        <f>G6*E18/E7</f>
        <v>10751.748251748251</v>
      </c>
      <c r="I8" t="s">
        <v>9</v>
      </c>
      <c r="J8" t="s">
        <v>27</v>
      </c>
      <c r="L8" s="2">
        <f>L7-(E18+E17+E16+E15+E10)</f>
        <v>5852.0655153220287</v>
      </c>
    </row>
    <row r="9" spans="3:18" x14ac:dyDescent="0.2">
      <c r="C9" t="s">
        <v>11</v>
      </c>
      <c r="E9" s="5">
        <v>40</v>
      </c>
    </row>
    <row r="10" spans="3:18" x14ac:dyDescent="0.2">
      <c r="C10" t="s">
        <v>12</v>
      </c>
      <c r="E10" s="5">
        <v>1</v>
      </c>
      <c r="F10" t="s">
        <v>2</v>
      </c>
    </row>
    <row r="11" spans="3:18" x14ac:dyDescent="0.2">
      <c r="C11" t="s">
        <v>13</v>
      </c>
      <c r="E11" s="5">
        <v>1E-3</v>
      </c>
    </row>
    <row r="12" spans="3:18" x14ac:dyDescent="0.2">
      <c r="C12" t="s">
        <v>14</v>
      </c>
      <c r="E12" s="5">
        <v>0.1</v>
      </c>
    </row>
    <row r="13" spans="3:18" x14ac:dyDescent="0.2">
      <c r="C13" t="s">
        <v>15</v>
      </c>
      <c r="E13" s="5">
        <v>200</v>
      </c>
      <c r="F13" t="s">
        <v>1</v>
      </c>
    </row>
    <row r="14" spans="3:18" x14ac:dyDescent="0.2">
      <c r="G14" t="s">
        <v>26</v>
      </c>
    </row>
    <row r="15" spans="3:18" x14ac:dyDescent="0.2">
      <c r="C15" t="s">
        <v>21</v>
      </c>
      <c r="E15" s="7">
        <v>150</v>
      </c>
      <c r="F15" t="s">
        <v>2</v>
      </c>
      <c r="G15" s="6">
        <f>L8/E9</f>
        <v>146.30163788305072</v>
      </c>
    </row>
    <row r="16" spans="3:18" x14ac:dyDescent="0.2">
      <c r="C16" t="s">
        <v>22</v>
      </c>
      <c r="E16" s="9">
        <v>110</v>
      </c>
      <c r="F16" t="s">
        <v>2</v>
      </c>
      <c r="G16" s="6">
        <f>L7*E11</f>
        <v>106.31806551532203</v>
      </c>
      <c r="Q16" s="1"/>
    </row>
    <row r="17" spans="3:13" x14ac:dyDescent="0.2">
      <c r="C17" t="s">
        <v>23</v>
      </c>
      <c r="E17" s="4">
        <v>100000</v>
      </c>
      <c r="F17" t="s">
        <v>2</v>
      </c>
    </row>
    <row r="18" spans="3:13" x14ac:dyDescent="0.2">
      <c r="C18" t="s">
        <v>25</v>
      </c>
      <c r="E18" s="7">
        <v>205</v>
      </c>
      <c r="F18" t="s">
        <v>2</v>
      </c>
      <c r="G18" s="6">
        <f>L7*E12/E8</f>
        <v>202.71311158254736</v>
      </c>
    </row>
    <row r="21" spans="3:13" x14ac:dyDescent="0.2">
      <c r="C21" t="s">
        <v>35</v>
      </c>
    </row>
    <row r="22" spans="3:13" x14ac:dyDescent="0.2">
      <c r="C22" t="s">
        <v>29</v>
      </c>
    </row>
    <row r="23" spans="3:13" x14ac:dyDescent="0.2">
      <c r="C23" t="s">
        <v>31</v>
      </c>
      <c r="F23" s="5">
        <v>4071</v>
      </c>
      <c r="G23" t="s">
        <v>1</v>
      </c>
    </row>
    <row r="24" spans="3:13" x14ac:dyDescent="0.2">
      <c r="C24" t="s">
        <v>32</v>
      </c>
      <c r="F24" s="5">
        <v>4532</v>
      </c>
      <c r="G24" t="s">
        <v>1</v>
      </c>
    </row>
    <row r="25" spans="3:13" x14ac:dyDescent="0.2">
      <c r="C25" t="s">
        <v>30</v>
      </c>
      <c r="F25" s="5">
        <v>4001.2</v>
      </c>
      <c r="G25" t="s">
        <v>8</v>
      </c>
      <c r="H25">
        <f>F25*1000/I3</f>
        <v>407869.52089704381</v>
      </c>
      <c r="I25" t="s">
        <v>9</v>
      </c>
    </row>
    <row r="26" spans="3:13" x14ac:dyDescent="0.2">
      <c r="C26" t="s">
        <v>33</v>
      </c>
      <c r="F26" s="5">
        <v>1569</v>
      </c>
      <c r="G26" t="s">
        <v>8</v>
      </c>
      <c r="H26">
        <f>F26*1000/I3</f>
        <v>159938.83792048928</v>
      </c>
      <c r="I26" t="s">
        <v>9</v>
      </c>
    </row>
    <row r="27" spans="3:13" x14ac:dyDescent="0.2">
      <c r="C27" t="s">
        <v>0</v>
      </c>
      <c r="F27" s="5">
        <v>1923</v>
      </c>
      <c r="G27" t="s">
        <v>2</v>
      </c>
      <c r="J27" t="s">
        <v>24</v>
      </c>
      <c r="L27" s="2">
        <f>(E37+E36+E35+E30+E39+E38)*I2^(E33/F24)</f>
        <v>311709.71298622066</v>
      </c>
      <c r="M27" t="s">
        <v>2</v>
      </c>
    </row>
    <row r="28" spans="3:13" x14ac:dyDescent="0.2">
      <c r="C28" t="s">
        <v>34</v>
      </c>
      <c r="E28" s="2">
        <f>H26/F27</f>
        <v>83.171522579557603</v>
      </c>
      <c r="G28" t="s">
        <v>28</v>
      </c>
      <c r="H28" s="6">
        <f>H26*E38/F27</f>
        <v>158025.89290115944</v>
      </c>
      <c r="I28" t="s">
        <v>9</v>
      </c>
      <c r="L28" s="2"/>
    </row>
    <row r="29" spans="3:13" x14ac:dyDescent="0.2">
      <c r="C29" t="s">
        <v>11</v>
      </c>
      <c r="E29" s="5">
        <v>40</v>
      </c>
      <c r="J29" t="s">
        <v>27</v>
      </c>
      <c r="L29" s="2">
        <f>L27-(E38+E37+E36+E39+E35+E30)</f>
        <v>176591.64747089864</v>
      </c>
      <c r="M29" t="s">
        <v>2</v>
      </c>
    </row>
    <row r="30" spans="3:13" x14ac:dyDescent="0.2">
      <c r="C30" t="s">
        <v>12</v>
      </c>
      <c r="E30" s="5">
        <v>20</v>
      </c>
      <c r="F30" t="s">
        <v>2</v>
      </c>
      <c r="J30" t="s">
        <v>44</v>
      </c>
      <c r="L30" s="2">
        <f>E39+E38+E36+E35+E30</f>
        <v>28800</v>
      </c>
      <c r="M30" t="s">
        <v>2</v>
      </c>
    </row>
    <row r="31" spans="3:13" x14ac:dyDescent="0.2">
      <c r="C31" t="s">
        <v>13</v>
      </c>
      <c r="E31" s="5">
        <v>1E-3</v>
      </c>
    </row>
    <row r="32" spans="3:13" x14ac:dyDescent="0.2">
      <c r="C32" t="s">
        <v>14</v>
      </c>
      <c r="E32" s="5">
        <v>0.5</v>
      </c>
    </row>
    <row r="33" spans="3:17" x14ac:dyDescent="0.2">
      <c r="C33" t="s">
        <v>15</v>
      </c>
      <c r="E33" s="5">
        <v>3800</v>
      </c>
      <c r="F33" t="s">
        <v>1</v>
      </c>
    </row>
    <row r="34" spans="3:17" x14ac:dyDescent="0.2">
      <c r="G34" t="s">
        <v>26</v>
      </c>
      <c r="I34" t="s">
        <v>37</v>
      </c>
    </row>
    <row r="35" spans="3:17" x14ac:dyDescent="0.2">
      <c r="C35" t="s">
        <v>21</v>
      </c>
      <c r="E35" s="7">
        <v>26000</v>
      </c>
      <c r="F35" t="s">
        <v>2</v>
      </c>
      <c r="G35" s="6">
        <f>L27/E29</f>
        <v>7792.7428246555164</v>
      </c>
      <c r="I35" s="6">
        <f>E35-G35</f>
        <v>18207.257175344483</v>
      </c>
      <c r="J35" t="s">
        <v>2</v>
      </c>
    </row>
    <row r="36" spans="3:17" x14ac:dyDescent="0.2">
      <c r="C36" t="s">
        <v>22</v>
      </c>
      <c r="E36" s="9">
        <v>320</v>
      </c>
      <c r="F36" t="s">
        <v>2</v>
      </c>
      <c r="G36" s="6">
        <f>L27*E31</f>
        <v>311.70971298622067</v>
      </c>
      <c r="Q36" s="1"/>
    </row>
    <row r="37" spans="3:17" x14ac:dyDescent="0.2">
      <c r="C37" t="s">
        <v>23</v>
      </c>
      <c r="E37" s="2">
        <f>L7</f>
        <v>106318.06551532203</v>
      </c>
      <c r="F37" t="s">
        <v>2</v>
      </c>
    </row>
    <row r="38" spans="3:17" x14ac:dyDescent="0.2">
      <c r="C38" t="s">
        <v>25</v>
      </c>
      <c r="E38" s="7">
        <v>1900</v>
      </c>
      <c r="F38" t="s">
        <v>2</v>
      </c>
      <c r="G38" s="6">
        <f>L27*E32/E28</f>
        <v>1873.8968779130812</v>
      </c>
    </row>
    <row r="39" spans="3:17" x14ac:dyDescent="0.2">
      <c r="C39" t="s">
        <v>45</v>
      </c>
      <c r="E39" s="7">
        <f>(E38+E36+E30)/4</f>
        <v>560</v>
      </c>
      <c r="F39" t="s">
        <v>2</v>
      </c>
      <c r="J39" t="s">
        <v>46</v>
      </c>
      <c r="L39" s="2">
        <f>E39+E38+E36</f>
        <v>2780</v>
      </c>
      <c r="M39" t="s">
        <v>2</v>
      </c>
    </row>
    <row r="40" spans="3:17" x14ac:dyDescent="0.2">
      <c r="J40" t="s">
        <v>47</v>
      </c>
      <c r="L40" s="2">
        <f>L50+L29</f>
        <v>583978.5615669688</v>
      </c>
      <c r="M40" t="s">
        <v>2</v>
      </c>
    </row>
    <row r="42" spans="3:17" x14ac:dyDescent="0.2">
      <c r="C42" t="s">
        <v>36</v>
      </c>
    </row>
    <row r="43" spans="3:17" x14ac:dyDescent="0.2">
      <c r="C43" t="s">
        <v>29</v>
      </c>
    </row>
    <row r="44" spans="3:17" x14ac:dyDescent="0.2">
      <c r="C44" t="s">
        <v>31</v>
      </c>
      <c r="F44" s="5">
        <v>4071</v>
      </c>
      <c r="G44" t="s">
        <v>1</v>
      </c>
    </row>
    <row r="45" spans="3:17" x14ac:dyDescent="0.2">
      <c r="C45" t="s">
        <v>32</v>
      </c>
      <c r="F45" s="5">
        <v>4532</v>
      </c>
      <c r="G45" t="s">
        <v>1</v>
      </c>
    </row>
    <row r="46" spans="3:17" x14ac:dyDescent="0.2">
      <c r="C46" t="s">
        <v>30</v>
      </c>
      <c r="F46" s="5">
        <v>4001.2</v>
      </c>
      <c r="G46" t="s">
        <v>8</v>
      </c>
      <c r="H46">
        <f>F46*1000/I3</f>
        <v>407869.52089704381</v>
      </c>
      <c r="I46" t="s">
        <v>9</v>
      </c>
    </row>
    <row r="47" spans="3:17" x14ac:dyDescent="0.2">
      <c r="C47" t="s">
        <v>33</v>
      </c>
      <c r="F47" s="5">
        <v>1569</v>
      </c>
      <c r="G47" t="s">
        <v>8</v>
      </c>
      <c r="H47">
        <f>F47*1000/I3</f>
        <v>159938.83792048928</v>
      </c>
      <c r="I47" t="s">
        <v>9</v>
      </c>
    </row>
    <row r="48" spans="3:17" x14ac:dyDescent="0.2">
      <c r="C48" t="s">
        <v>0</v>
      </c>
      <c r="F48" s="5">
        <v>1923</v>
      </c>
      <c r="G48" t="s">
        <v>2</v>
      </c>
      <c r="J48" t="s">
        <v>24</v>
      </c>
      <c r="L48" s="2">
        <f>(E58+E57+E56+E51+E59)*I2^(E54/F45)</f>
        <v>719096.62708229083</v>
      </c>
      <c r="M48" t="s">
        <v>2</v>
      </c>
    </row>
    <row r="49" spans="3:17" x14ac:dyDescent="0.2">
      <c r="C49" t="s">
        <v>34</v>
      </c>
      <c r="E49" s="2">
        <f>H46/F48</f>
        <v>212.10063489185845</v>
      </c>
      <c r="G49" t="s">
        <v>28</v>
      </c>
      <c r="H49" s="6">
        <f>H46*E38/F48</f>
        <v>402991.20629453106</v>
      </c>
      <c r="I49" t="s">
        <v>9</v>
      </c>
    </row>
    <row r="50" spans="3:17" x14ac:dyDescent="0.2">
      <c r="C50" t="s">
        <v>11</v>
      </c>
      <c r="E50" s="5">
        <v>40</v>
      </c>
      <c r="J50" t="s">
        <v>27</v>
      </c>
      <c r="L50" s="2">
        <f>L48-(E59+E58+E57+E56+E51)</f>
        <v>407386.91409607016</v>
      </c>
      <c r="M50" t="s">
        <v>2</v>
      </c>
    </row>
    <row r="51" spans="3:17" x14ac:dyDescent="0.2">
      <c r="C51" t="s">
        <v>12</v>
      </c>
      <c r="E51" s="5">
        <v>0</v>
      </c>
      <c r="F51" t="s">
        <v>2</v>
      </c>
    </row>
    <row r="52" spans="3:17" x14ac:dyDescent="0.2">
      <c r="C52" t="s">
        <v>13</v>
      </c>
      <c r="E52" s="5">
        <v>0</v>
      </c>
    </row>
    <row r="53" spans="3:17" x14ac:dyDescent="0.2">
      <c r="C53" t="s">
        <v>14</v>
      </c>
      <c r="E53" s="5">
        <v>0.5</v>
      </c>
    </row>
    <row r="54" spans="3:17" x14ac:dyDescent="0.2">
      <c r="C54" t="s">
        <v>15</v>
      </c>
      <c r="E54" s="5">
        <f>7800-E33-E13</f>
        <v>3800</v>
      </c>
      <c r="F54" t="s">
        <v>1</v>
      </c>
    </row>
    <row r="55" spans="3:17" x14ac:dyDescent="0.2">
      <c r="G55" t="s">
        <v>26</v>
      </c>
    </row>
    <row r="56" spans="3:17" x14ac:dyDescent="0.2">
      <c r="C56" t="s">
        <v>21</v>
      </c>
      <c r="E56" s="7">
        <v>0</v>
      </c>
      <c r="F56" t="s">
        <v>2</v>
      </c>
      <c r="G56" s="6">
        <f>L48/E50</f>
        <v>17977.41567705727</v>
      </c>
      <c r="H56" t="s">
        <v>38</v>
      </c>
    </row>
    <row r="57" spans="3:17" x14ac:dyDescent="0.2">
      <c r="C57" t="s">
        <v>22</v>
      </c>
      <c r="E57" s="9">
        <v>0</v>
      </c>
      <c r="F57" t="s">
        <v>2</v>
      </c>
      <c r="G57" s="6">
        <f>L48*E52</f>
        <v>0</v>
      </c>
      <c r="H57" t="s">
        <v>38</v>
      </c>
      <c r="Q57" s="1"/>
    </row>
    <row r="58" spans="3:17" x14ac:dyDescent="0.2">
      <c r="C58" t="s">
        <v>23</v>
      </c>
      <c r="E58" s="2">
        <f>L27</f>
        <v>311709.71298622066</v>
      </c>
      <c r="F58" t="s">
        <v>2</v>
      </c>
    </row>
    <row r="59" spans="3:17" x14ac:dyDescent="0.2">
      <c r="C59" t="s">
        <v>25</v>
      </c>
      <c r="E59" s="7">
        <v>0</v>
      </c>
      <c r="F59" t="s">
        <v>2</v>
      </c>
      <c r="G59" s="6">
        <f>L48*E53/E49</f>
        <v>1695.1779221427819</v>
      </c>
      <c r="H59" t="s">
        <v>38</v>
      </c>
    </row>
    <row r="63" spans="3:17" x14ac:dyDescent="0.2">
      <c r="C63" t="s">
        <v>39</v>
      </c>
    </row>
    <row r="64" spans="3:17" x14ac:dyDescent="0.2">
      <c r="C64" t="s">
        <v>40</v>
      </c>
    </row>
    <row r="65" spans="3:13" x14ac:dyDescent="0.2">
      <c r="C65" t="s">
        <v>41</v>
      </c>
      <c r="F65" s="5">
        <f>320*I3</f>
        <v>3139.2000000000003</v>
      </c>
      <c r="G65" t="s">
        <v>1</v>
      </c>
    </row>
    <row r="66" spans="3:13" x14ac:dyDescent="0.2">
      <c r="C66" t="s">
        <v>42</v>
      </c>
      <c r="F66" s="5">
        <f>740*I3</f>
        <v>7259.4000000000005</v>
      </c>
      <c r="G66" t="s">
        <v>8</v>
      </c>
      <c r="H66">
        <v>740000</v>
      </c>
      <c r="I66" t="s">
        <v>9</v>
      </c>
    </row>
    <row r="67" spans="3:13" x14ac:dyDescent="0.2">
      <c r="C67" t="s">
        <v>0</v>
      </c>
      <c r="F67" s="5">
        <v>10750</v>
      </c>
      <c r="G67" t="s">
        <v>2</v>
      </c>
      <c r="J67" t="s">
        <v>24</v>
      </c>
      <c r="L67" s="2">
        <f>(E77+E76+E75+E70+E78+E79)*I2^(E73/F65)</f>
        <v>1924090.9942793064</v>
      </c>
      <c r="M67" t="s">
        <v>2</v>
      </c>
    </row>
    <row r="68" spans="3:13" x14ac:dyDescent="0.2">
      <c r="C68" t="s">
        <v>34</v>
      </c>
      <c r="F68" s="2">
        <f>H66/F67</f>
        <v>68.837209302325576</v>
      </c>
      <c r="J68" t="s">
        <v>27</v>
      </c>
      <c r="L68" s="2">
        <f>L67-(E78+E77+E76+E75+E70+E79)</f>
        <v>1026229.535842901</v>
      </c>
      <c r="M68" t="s">
        <v>2</v>
      </c>
    </row>
    <row r="69" spans="3:13" x14ac:dyDescent="0.2">
      <c r="C69" t="s">
        <v>11</v>
      </c>
      <c r="E69" s="5">
        <v>20</v>
      </c>
      <c r="G69" t="s">
        <v>28</v>
      </c>
      <c r="H69" s="6">
        <f>H66*E78/F67</f>
        <v>2946232.5581395347</v>
      </c>
      <c r="I69" t="s">
        <v>9</v>
      </c>
      <c r="J69" t="s">
        <v>43</v>
      </c>
      <c r="L69" s="2">
        <f>E75+E76+E78+E70+E79</f>
        <v>178764.83135411455</v>
      </c>
      <c r="M69" t="s">
        <v>2</v>
      </c>
    </row>
    <row r="70" spans="3:13" x14ac:dyDescent="0.2">
      <c r="C70" t="s">
        <v>12</v>
      </c>
      <c r="E70" s="5">
        <v>10</v>
      </c>
      <c r="F70" t="s">
        <v>2</v>
      </c>
    </row>
    <row r="71" spans="3:13" x14ac:dyDescent="0.2">
      <c r="C71" t="s">
        <v>13</v>
      </c>
      <c r="E71" s="5">
        <v>0</v>
      </c>
    </row>
    <row r="72" spans="3:13" x14ac:dyDescent="0.2">
      <c r="C72" t="s">
        <v>14</v>
      </c>
      <c r="E72" s="5">
        <v>1.5</v>
      </c>
    </row>
    <row r="73" spans="3:13" x14ac:dyDescent="0.2">
      <c r="C73" t="s">
        <v>15</v>
      </c>
      <c r="E73" s="5">
        <v>2400</v>
      </c>
      <c r="F73" t="s">
        <v>1</v>
      </c>
    </row>
    <row r="74" spans="3:13" x14ac:dyDescent="0.2">
      <c r="G74" t="s">
        <v>26</v>
      </c>
    </row>
    <row r="75" spans="3:13" x14ac:dyDescent="0.2">
      <c r="C75" t="s">
        <v>21</v>
      </c>
      <c r="E75" s="7">
        <v>100000</v>
      </c>
      <c r="F75" t="s">
        <v>2</v>
      </c>
      <c r="G75" s="6">
        <f>L67/E69</f>
        <v>96204.549713965316</v>
      </c>
    </row>
    <row r="76" spans="3:13" x14ac:dyDescent="0.2">
      <c r="C76" t="s">
        <v>22</v>
      </c>
      <c r="E76" s="9">
        <v>0</v>
      </c>
      <c r="F76" t="s">
        <v>2</v>
      </c>
      <c r="G76" s="6">
        <f>L67*E71</f>
        <v>0</v>
      </c>
    </row>
    <row r="77" spans="3:13" x14ac:dyDescent="0.2">
      <c r="C77" t="s">
        <v>23</v>
      </c>
      <c r="E77" s="2">
        <f>L48</f>
        <v>719096.62708229083</v>
      </c>
      <c r="F77" t="s">
        <v>2</v>
      </c>
    </row>
    <row r="78" spans="3:13" x14ac:dyDescent="0.2">
      <c r="C78" t="s">
        <v>25</v>
      </c>
      <c r="E78" s="7">
        <v>42800</v>
      </c>
      <c r="F78" t="s">
        <v>2</v>
      </c>
      <c r="G78" s="6">
        <f>L67*E72/F68</f>
        <v>41926.982814532188</v>
      </c>
    </row>
    <row r="79" spans="3:13" x14ac:dyDescent="0.2">
      <c r="C79" t="s">
        <v>48</v>
      </c>
      <c r="E79" s="2">
        <f>L48/20</f>
        <v>35954.83135411454</v>
      </c>
      <c r="F79" t="s">
        <v>2</v>
      </c>
    </row>
  </sheetData>
  <mergeCells count="1">
    <mergeCell ref="N2:R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P162"/>
  <sheetViews>
    <sheetView topLeftCell="A72" workbookViewId="0">
      <selection activeCell="I85" sqref="I85:S162"/>
    </sheetView>
  </sheetViews>
  <sheetFormatPr defaultRowHeight="12.75" x14ac:dyDescent="0.2"/>
  <sheetData>
    <row r="1" spans="4:146" x14ac:dyDescent="0.2"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</row>
    <row r="2" spans="4:146" x14ac:dyDescent="0.2"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</row>
    <row r="3" spans="4:146" x14ac:dyDescent="0.2"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</row>
    <row r="4" spans="4:146" x14ac:dyDescent="0.2">
      <c r="I4" t="s">
        <v>16</v>
      </c>
      <c r="J4" s="8">
        <v>2.71</v>
      </c>
      <c r="L4" t="s">
        <v>18</v>
      </c>
      <c r="U4" t="s">
        <v>16</v>
      </c>
      <c r="V4" s="8">
        <v>2.71</v>
      </c>
      <c r="X4" t="s">
        <v>18</v>
      </c>
      <c r="AG4" t="s">
        <v>16</v>
      </c>
      <c r="AH4" s="8">
        <v>2.71</v>
      </c>
      <c r="AJ4" t="s">
        <v>18</v>
      </c>
      <c r="AS4" t="s">
        <v>16</v>
      </c>
      <c r="AT4" s="8">
        <v>2.71</v>
      </c>
      <c r="AV4" t="s">
        <v>18</v>
      </c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</row>
    <row r="5" spans="4:146" x14ac:dyDescent="0.2">
      <c r="D5" t="s">
        <v>3</v>
      </c>
      <c r="I5" t="s">
        <v>17</v>
      </c>
      <c r="J5" s="8">
        <v>9.81</v>
      </c>
      <c r="L5" t="s">
        <v>19</v>
      </c>
      <c r="P5" t="s">
        <v>3</v>
      </c>
      <c r="U5" t="s">
        <v>17</v>
      </c>
      <c r="V5" s="8">
        <v>9.81</v>
      </c>
      <c r="X5" t="s">
        <v>19</v>
      </c>
      <c r="AB5" t="s">
        <v>3</v>
      </c>
      <c r="AG5" t="s">
        <v>17</v>
      </c>
      <c r="AH5" s="8">
        <v>9.81</v>
      </c>
      <c r="AJ5" t="s">
        <v>19</v>
      </c>
      <c r="AN5" t="s">
        <v>3</v>
      </c>
      <c r="AS5" t="s">
        <v>17</v>
      </c>
      <c r="AT5" s="8">
        <v>9.81</v>
      </c>
      <c r="AV5" t="s">
        <v>19</v>
      </c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</row>
    <row r="6" spans="4:146" x14ac:dyDescent="0.2">
      <c r="D6" t="s">
        <v>4</v>
      </c>
      <c r="L6" t="s">
        <v>20</v>
      </c>
      <c r="P6" t="s">
        <v>4</v>
      </c>
      <c r="X6" t="s">
        <v>20</v>
      </c>
      <c r="AB6" t="s">
        <v>4</v>
      </c>
      <c r="AJ6" t="s">
        <v>20</v>
      </c>
      <c r="AN6" t="s">
        <v>4</v>
      </c>
      <c r="AV6" t="s">
        <v>20</v>
      </c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</row>
    <row r="7" spans="4:146" x14ac:dyDescent="0.2">
      <c r="D7" t="s">
        <v>5</v>
      </c>
      <c r="F7" s="5">
        <v>3521.8</v>
      </c>
      <c r="G7" t="s">
        <v>1</v>
      </c>
      <c r="H7">
        <v>359</v>
      </c>
      <c r="I7" t="s">
        <v>6</v>
      </c>
      <c r="P7" t="s">
        <v>5</v>
      </c>
      <c r="R7" s="5">
        <v>3521.8</v>
      </c>
      <c r="S7" t="s">
        <v>1</v>
      </c>
      <c r="T7">
        <v>359</v>
      </c>
      <c r="U7" t="s">
        <v>6</v>
      </c>
      <c r="AB7" t="s">
        <v>5</v>
      </c>
      <c r="AD7" s="5">
        <v>3521.8</v>
      </c>
      <c r="AE7" t="s">
        <v>1</v>
      </c>
      <c r="AF7">
        <v>359</v>
      </c>
      <c r="AG7" t="s">
        <v>6</v>
      </c>
      <c r="AN7" t="s">
        <v>5</v>
      </c>
      <c r="AP7" s="5">
        <v>3521.8</v>
      </c>
      <c r="AQ7" t="s">
        <v>1</v>
      </c>
      <c r="AR7">
        <v>359</v>
      </c>
      <c r="AS7" t="s">
        <v>6</v>
      </c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</row>
    <row r="8" spans="4:146" x14ac:dyDescent="0.2">
      <c r="D8" t="s">
        <v>7</v>
      </c>
      <c r="F8" s="5">
        <v>294.3</v>
      </c>
      <c r="G8" t="s">
        <v>8</v>
      </c>
      <c r="H8">
        <v>30000</v>
      </c>
      <c r="I8" t="s">
        <v>9</v>
      </c>
      <c r="P8" t="s">
        <v>7</v>
      </c>
      <c r="R8" s="5">
        <v>294.3</v>
      </c>
      <c r="S8" t="s">
        <v>8</v>
      </c>
      <c r="T8">
        <v>30000</v>
      </c>
      <c r="U8" t="s">
        <v>9</v>
      </c>
      <c r="AB8" t="s">
        <v>7</v>
      </c>
      <c r="AD8" s="5">
        <v>294.3</v>
      </c>
      <c r="AE8" t="s">
        <v>8</v>
      </c>
      <c r="AF8">
        <v>30000</v>
      </c>
      <c r="AG8" t="s">
        <v>9</v>
      </c>
      <c r="AN8" t="s">
        <v>7</v>
      </c>
      <c r="AP8" s="5">
        <v>294.3</v>
      </c>
      <c r="AQ8" t="s">
        <v>8</v>
      </c>
      <c r="AR8">
        <v>30000</v>
      </c>
      <c r="AS8" t="s">
        <v>9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</row>
    <row r="9" spans="4:146" x14ac:dyDescent="0.2">
      <c r="D9" t="s">
        <v>0</v>
      </c>
      <c r="F9" s="5">
        <v>572</v>
      </c>
      <c r="G9" t="s">
        <v>2</v>
      </c>
      <c r="K9" t="s">
        <v>24</v>
      </c>
      <c r="M9" s="2">
        <f>(F19+F18+F17+F12+F20)*J4^(F15/F7)</f>
        <v>101776.39269334004</v>
      </c>
      <c r="P9" t="s">
        <v>0</v>
      </c>
      <c r="R9" s="5">
        <v>572</v>
      </c>
      <c r="S9" t="s">
        <v>2</v>
      </c>
      <c r="W9" t="s">
        <v>24</v>
      </c>
      <c r="Y9" s="2">
        <f>(R19+R18+R17+R12+R20)*V4^(R15/R7)</f>
        <v>103268.32356717552</v>
      </c>
      <c r="AB9" t="s">
        <v>0</v>
      </c>
      <c r="AD9" s="5">
        <v>572</v>
      </c>
      <c r="AE9" t="s">
        <v>2</v>
      </c>
      <c r="AI9" t="s">
        <v>24</v>
      </c>
      <c r="AK9" s="2">
        <f>(AD19+AD18+AD17+AD12+AD20)*AH4^(AD15/AD7)</f>
        <v>104776.89100191384</v>
      </c>
      <c r="AN9" t="s">
        <v>0</v>
      </c>
      <c r="AP9" s="5">
        <v>572</v>
      </c>
      <c r="AQ9" t="s">
        <v>2</v>
      </c>
      <c r="AU9" t="s">
        <v>24</v>
      </c>
      <c r="AW9" s="2">
        <f>(AP19+AP18+AP17+AP12+AP20)*AT4^(AP15/AP7)</f>
        <v>106318.06551532203</v>
      </c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</row>
    <row r="10" spans="4:146" x14ac:dyDescent="0.2">
      <c r="D10" t="s">
        <v>10</v>
      </c>
      <c r="F10" s="2">
        <f>H8/F9</f>
        <v>52.447552447552447</v>
      </c>
      <c r="H10" t="s">
        <v>28</v>
      </c>
      <c r="I10" s="6">
        <f>H8*F20/F9</f>
        <v>10489.510489510489</v>
      </c>
      <c r="J10" t="s">
        <v>9</v>
      </c>
      <c r="K10" t="s">
        <v>27</v>
      </c>
      <c r="M10" s="2">
        <f>M9-(F20+F19+F18+F17+F12)</f>
        <v>1430.3926933400362</v>
      </c>
      <c r="P10" t="s">
        <v>10</v>
      </c>
      <c r="R10" s="2">
        <f>T8/R9</f>
        <v>52.447552447552447</v>
      </c>
      <c r="T10" t="s">
        <v>28</v>
      </c>
      <c r="U10" s="6">
        <f>T8*R20/R9</f>
        <v>10489.510489510489</v>
      </c>
      <c r="V10" t="s">
        <v>9</v>
      </c>
      <c r="W10" t="s">
        <v>27</v>
      </c>
      <c r="Y10" s="2">
        <f>Y9-(R20+R19+R18+R17+R12)</f>
        <v>2882.3235671755247</v>
      </c>
      <c r="AB10" t="s">
        <v>10</v>
      </c>
      <c r="AD10" s="2">
        <f>AF8/AD9</f>
        <v>52.447552447552447</v>
      </c>
      <c r="AF10" t="s">
        <v>28</v>
      </c>
      <c r="AG10" s="6">
        <f>AF8*AD20/AD9</f>
        <v>10489.510489510489</v>
      </c>
      <c r="AH10" t="s">
        <v>9</v>
      </c>
      <c r="AI10" t="s">
        <v>27</v>
      </c>
      <c r="AK10" s="2">
        <f>AK9-(AD20+AD19+AD18+AD17+AD12)</f>
        <v>4355.891001913842</v>
      </c>
      <c r="AN10" t="s">
        <v>10</v>
      </c>
      <c r="AP10" s="2">
        <f>AR8/AP9</f>
        <v>52.447552447552447</v>
      </c>
      <c r="AR10" t="s">
        <v>28</v>
      </c>
      <c r="AS10" s="6">
        <f>AR8*AP20/AP9</f>
        <v>10751.748251748251</v>
      </c>
      <c r="AT10" t="s">
        <v>9</v>
      </c>
      <c r="AU10" t="s">
        <v>27</v>
      </c>
      <c r="AW10" s="2">
        <f>AW9-(AP20+AP19+AP18+AP17+AP12)</f>
        <v>5852.0655153220287</v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</row>
    <row r="11" spans="4:146" x14ac:dyDescent="0.2">
      <c r="D11" t="s">
        <v>11</v>
      </c>
      <c r="F11" s="5">
        <v>40</v>
      </c>
      <c r="P11" t="s">
        <v>11</v>
      </c>
      <c r="R11" s="5">
        <v>40</v>
      </c>
      <c r="AB11" t="s">
        <v>11</v>
      </c>
      <c r="AD11" s="5">
        <v>40</v>
      </c>
      <c r="AN11" t="s">
        <v>11</v>
      </c>
      <c r="AP11" s="5">
        <v>40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</row>
    <row r="12" spans="4:146" x14ac:dyDescent="0.2">
      <c r="D12" t="s">
        <v>12</v>
      </c>
      <c r="F12" s="5">
        <v>1</v>
      </c>
      <c r="G12" t="s">
        <v>2</v>
      </c>
      <c r="P12" t="s">
        <v>12</v>
      </c>
      <c r="R12" s="5">
        <v>1</v>
      </c>
      <c r="S12" t="s">
        <v>2</v>
      </c>
      <c r="AB12" t="s">
        <v>12</v>
      </c>
      <c r="AD12" s="5">
        <v>1</v>
      </c>
      <c r="AE12" t="s">
        <v>2</v>
      </c>
      <c r="AN12" t="s">
        <v>12</v>
      </c>
      <c r="AP12" s="5">
        <v>1</v>
      </c>
      <c r="AQ12" t="s">
        <v>2</v>
      </c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</row>
    <row r="13" spans="4:146" x14ac:dyDescent="0.2">
      <c r="D13" t="s">
        <v>13</v>
      </c>
      <c r="F13" s="5">
        <v>1E-3</v>
      </c>
      <c r="P13" t="s">
        <v>13</v>
      </c>
      <c r="R13" s="5">
        <v>1E-3</v>
      </c>
      <c r="AB13" t="s">
        <v>13</v>
      </c>
      <c r="AD13" s="5">
        <v>1E-3</v>
      </c>
      <c r="AN13" t="s">
        <v>13</v>
      </c>
      <c r="AP13" s="5">
        <v>1E-3</v>
      </c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</row>
    <row r="14" spans="4:146" x14ac:dyDescent="0.2">
      <c r="D14" t="s">
        <v>14</v>
      </c>
      <c r="F14" s="5">
        <v>0.1</v>
      </c>
      <c r="P14" t="s">
        <v>14</v>
      </c>
      <c r="R14" s="5">
        <v>0.1</v>
      </c>
      <c r="AB14" t="s">
        <v>14</v>
      </c>
      <c r="AD14" s="5">
        <v>0.1</v>
      </c>
      <c r="AN14" t="s">
        <v>14</v>
      </c>
      <c r="AP14" s="5">
        <v>0.1</v>
      </c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</row>
    <row r="15" spans="4:146" x14ac:dyDescent="0.2">
      <c r="D15" t="s">
        <v>15</v>
      </c>
      <c r="F15" s="5">
        <v>50</v>
      </c>
      <c r="G15" t="s">
        <v>1</v>
      </c>
      <c r="P15" t="s">
        <v>15</v>
      </c>
      <c r="R15" s="5">
        <v>100</v>
      </c>
      <c r="S15" t="s">
        <v>1</v>
      </c>
      <c r="AB15" t="s">
        <v>15</v>
      </c>
      <c r="AD15" s="5">
        <v>150</v>
      </c>
      <c r="AE15" t="s">
        <v>1</v>
      </c>
      <c r="AN15" t="s">
        <v>15</v>
      </c>
      <c r="AP15" s="5">
        <v>200</v>
      </c>
      <c r="AQ15" t="s">
        <v>1</v>
      </c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</row>
    <row r="16" spans="4:146" x14ac:dyDescent="0.2">
      <c r="H16" t="s">
        <v>26</v>
      </c>
      <c r="T16" t="s">
        <v>26</v>
      </c>
      <c r="AF16" t="s">
        <v>26</v>
      </c>
      <c r="AR16" t="s">
        <v>26</v>
      </c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</row>
    <row r="17" spans="4:146" x14ac:dyDescent="0.2">
      <c r="D17" t="s">
        <v>21</v>
      </c>
      <c r="F17" s="7">
        <v>40</v>
      </c>
      <c r="G17" t="s">
        <v>2</v>
      </c>
      <c r="H17" s="6">
        <f>M10/F11</f>
        <v>35.759817333500905</v>
      </c>
      <c r="P17" t="s">
        <v>21</v>
      </c>
      <c r="R17" s="7">
        <v>80</v>
      </c>
      <c r="S17" t="s">
        <v>2</v>
      </c>
      <c r="T17" s="6">
        <f>Y10/R11</f>
        <v>72.058089179388119</v>
      </c>
      <c r="AB17" t="s">
        <v>21</v>
      </c>
      <c r="AD17" s="7">
        <v>110</v>
      </c>
      <c r="AE17" t="s">
        <v>2</v>
      </c>
      <c r="AF17" s="6">
        <f>AK10/AD11</f>
        <v>108.89727504784605</v>
      </c>
      <c r="AN17" t="s">
        <v>21</v>
      </c>
      <c r="AP17" s="7">
        <v>150</v>
      </c>
      <c r="AQ17" t="s">
        <v>2</v>
      </c>
      <c r="AR17" s="6">
        <f>AW10/AP11</f>
        <v>146.30163788305072</v>
      </c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</row>
    <row r="18" spans="4:146" x14ac:dyDescent="0.2">
      <c r="D18" t="s">
        <v>22</v>
      </c>
      <c r="F18" s="9">
        <v>105</v>
      </c>
      <c r="G18" t="s">
        <v>2</v>
      </c>
      <c r="H18" s="6">
        <f>M9*F13</f>
        <v>101.77639269334004</v>
      </c>
      <c r="P18" t="s">
        <v>22</v>
      </c>
      <c r="R18" s="9">
        <v>105</v>
      </c>
      <c r="S18" t="s">
        <v>2</v>
      </c>
      <c r="T18" s="6">
        <f>Y9*R13</f>
        <v>103.26832356717553</v>
      </c>
      <c r="AB18" t="s">
        <v>22</v>
      </c>
      <c r="AD18" s="9">
        <v>110</v>
      </c>
      <c r="AE18" t="s">
        <v>2</v>
      </c>
      <c r="AF18" s="6">
        <f>AK9*AD13</f>
        <v>104.77689100191384</v>
      </c>
      <c r="AN18" t="s">
        <v>22</v>
      </c>
      <c r="AP18" s="9">
        <v>110</v>
      </c>
      <c r="AQ18" t="s">
        <v>2</v>
      </c>
      <c r="AR18" s="6">
        <f>AW9*AP13</f>
        <v>106.31806551532203</v>
      </c>
      <c r="AZ18" s="14"/>
      <c r="BA18" s="14"/>
      <c r="BB18" s="15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5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5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5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5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5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5"/>
      <c r="EI18" s="14"/>
      <c r="EJ18" s="14"/>
      <c r="EK18" s="14"/>
      <c r="EL18" s="14"/>
      <c r="EM18" s="14"/>
      <c r="EN18" s="14"/>
      <c r="EO18" s="14"/>
      <c r="EP18" s="14"/>
    </row>
    <row r="19" spans="4:146" x14ac:dyDescent="0.2">
      <c r="D19" t="s">
        <v>23</v>
      </c>
      <c r="F19" s="4">
        <v>100000</v>
      </c>
      <c r="G19" t="s">
        <v>2</v>
      </c>
      <c r="P19" t="s">
        <v>23</v>
      </c>
      <c r="R19" s="4">
        <v>100000</v>
      </c>
      <c r="S19" t="s">
        <v>2</v>
      </c>
      <c r="AB19" t="s">
        <v>23</v>
      </c>
      <c r="AD19" s="4">
        <v>100000</v>
      </c>
      <c r="AE19" t="s">
        <v>2</v>
      </c>
      <c r="AN19" t="s">
        <v>23</v>
      </c>
      <c r="AP19" s="4">
        <v>100000</v>
      </c>
      <c r="AQ19" t="s">
        <v>2</v>
      </c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</row>
    <row r="20" spans="4:146" x14ac:dyDescent="0.2">
      <c r="D20" t="s">
        <v>25</v>
      </c>
      <c r="F20" s="7">
        <v>200</v>
      </c>
      <c r="G20" t="s">
        <v>2</v>
      </c>
      <c r="H20" s="6">
        <f>M9*F14/F10</f>
        <v>194.05365540196834</v>
      </c>
      <c r="P20" t="s">
        <v>25</v>
      </c>
      <c r="R20" s="7">
        <v>200</v>
      </c>
      <c r="S20" t="s">
        <v>2</v>
      </c>
      <c r="T20" s="6">
        <f>Y9*R14/R10</f>
        <v>196.89827026808138</v>
      </c>
      <c r="AB20" t="s">
        <v>25</v>
      </c>
      <c r="AD20" s="7">
        <v>200</v>
      </c>
      <c r="AE20" t="s">
        <v>2</v>
      </c>
      <c r="AF20" s="6">
        <f>AK9*AD14/AD10</f>
        <v>199.77460551031572</v>
      </c>
      <c r="AN20" t="s">
        <v>25</v>
      </c>
      <c r="AP20" s="7">
        <v>205</v>
      </c>
      <c r="AQ20" t="s">
        <v>2</v>
      </c>
      <c r="AR20" s="6">
        <f>AW9*AP14/AP10</f>
        <v>202.71311158254736</v>
      </c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</row>
    <row r="21" spans="4:146" x14ac:dyDescent="0.2"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</row>
    <row r="22" spans="4:146" x14ac:dyDescent="0.2"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</row>
    <row r="23" spans="4:146" x14ac:dyDescent="0.2">
      <c r="D23" t="s">
        <v>35</v>
      </c>
      <c r="P23" t="s">
        <v>35</v>
      </c>
      <c r="AB23" t="s">
        <v>35</v>
      </c>
      <c r="AN23" t="s">
        <v>35</v>
      </c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</row>
    <row r="24" spans="4:146" x14ac:dyDescent="0.2">
      <c r="D24" t="s">
        <v>29</v>
      </c>
      <c r="P24" t="s">
        <v>29</v>
      </c>
      <c r="AB24" t="s">
        <v>29</v>
      </c>
      <c r="AN24" t="s">
        <v>29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</row>
    <row r="25" spans="4:146" x14ac:dyDescent="0.2">
      <c r="D25" t="s">
        <v>31</v>
      </c>
      <c r="G25" s="5">
        <v>4071</v>
      </c>
      <c r="H25" t="s">
        <v>1</v>
      </c>
      <c r="P25" t="s">
        <v>31</v>
      </c>
      <c r="S25" s="5">
        <v>4071</v>
      </c>
      <c r="T25" t="s">
        <v>1</v>
      </c>
      <c r="AB25" t="s">
        <v>31</v>
      </c>
      <c r="AE25" s="5">
        <v>4071</v>
      </c>
      <c r="AF25" t="s">
        <v>1</v>
      </c>
      <c r="AN25" t="s">
        <v>31</v>
      </c>
      <c r="AQ25" s="5">
        <v>4071</v>
      </c>
      <c r="AR25" t="s">
        <v>1</v>
      </c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</row>
    <row r="26" spans="4:146" x14ac:dyDescent="0.2">
      <c r="D26" t="s">
        <v>32</v>
      </c>
      <c r="G26" s="5">
        <v>4532</v>
      </c>
      <c r="H26" t="s">
        <v>1</v>
      </c>
      <c r="P26" t="s">
        <v>32</v>
      </c>
      <c r="S26" s="5">
        <v>4532</v>
      </c>
      <c r="T26" t="s">
        <v>1</v>
      </c>
      <c r="AB26" t="s">
        <v>32</v>
      </c>
      <c r="AE26" s="5">
        <v>4532</v>
      </c>
      <c r="AF26" t="s">
        <v>1</v>
      </c>
      <c r="AN26" t="s">
        <v>32</v>
      </c>
      <c r="AQ26" s="5">
        <v>4532</v>
      </c>
      <c r="AR26" t="s">
        <v>1</v>
      </c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</row>
    <row r="27" spans="4:146" x14ac:dyDescent="0.2">
      <c r="D27" t="s">
        <v>30</v>
      </c>
      <c r="G27" s="5">
        <v>4001.2</v>
      </c>
      <c r="H27" t="s">
        <v>8</v>
      </c>
      <c r="I27">
        <f>G27*1000/J5</f>
        <v>407869.52089704381</v>
      </c>
      <c r="J27" t="s">
        <v>9</v>
      </c>
      <c r="P27" t="s">
        <v>30</v>
      </c>
      <c r="S27" s="5">
        <v>4001.2</v>
      </c>
      <c r="T27" t="s">
        <v>8</v>
      </c>
      <c r="U27">
        <f>S27*1000/V5</f>
        <v>407869.52089704381</v>
      </c>
      <c r="V27" t="s">
        <v>9</v>
      </c>
      <c r="AB27" t="s">
        <v>30</v>
      </c>
      <c r="AE27" s="5">
        <v>4001.2</v>
      </c>
      <c r="AF27" t="s">
        <v>8</v>
      </c>
      <c r="AG27">
        <f>AE27*1000/AH5</f>
        <v>407869.52089704381</v>
      </c>
      <c r="AH27" t="s">
        <v>9</v>
      </c>
      <c r="AN27" t="s">
        <v>30</v>
      </c>
      <c r="AQ27" s="5">
        <v>4001.2</v>
      </c>
      <c r="AR27" t="s">
        <v>8</v>
      </c>
      <c r="AS27">
        <f>AQ27*1000/AT5</f>
        <v>407869.52089704381</v>
      </c>
      <c r="AT27" t="s">
        <v>9</v>
      </c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</row>
    <row r="28" spans="4:146" x14ac:dyDescent="0.2">
      <c r="D28" t="s">
        <v>33</v>
      </c>
      <c r="G28" s="5">
        <v>1569</v>
      </c>
      <c r="H28" t="s">
        <v>8</v>
      </c>
      <c r="I28">
        <f>G28*1000/J5</f>
        <v>159938.83792048928</v>
      </c>
      <c r="J28" t="s">
        <v>9</v>
      </c>
      <c r="P28" t="s">
        <v>33</v>
      </c>
      <c r="S28" s="5">
        <v>1569</v>
      </c>
      <c r="T28" t="s">
        <v>8</v>
      </c>
      <c r="U28">
        <f>S28*1000/V5</f>
        <v>159938.83792048928</v>
      </c>
      <c r="V28" t="s">
        <v>9</v>
      </c>
      <c r="AB28" t="s">
        <v>33</v>
      </c>
      <c r="AE28" s="5">
        <v>1569</v>
      </c>
      <c r="AF28" t="s">
        <v>8</v>
      </c>
      <c r="AG28">
        <f>AE28*1000/AH5</f>
        <v>159938.83792048928</v>
      </c>
      <c r="AH28" t="s">
        <v>9</v>
      </c>
      <c r="AN28" t="s">
        <v>33</v>
      </c>
      <c r="AQ28" s="5">
        <v>1569</v>
      </c>
      <c r="AR28" t="s">
        <v>8</v>
      </c>
      <c r="AS28">
        <f>AQ28*1000/AT5</f>
        <v>159938.83792048928</v>
      </c>
      <c r="AT28" t="s">
        <v>9</v>
      </c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</row>
    <row r="29" spans="4:146" x14ac:dyDescent="0.2">
      <c r="D29" t="s">
        <v>0</v>
      </c>
      <c r="G29" s="5">
        <v>1923</v>
      </c>
      <c r="H29" t="s">
        <v>2</v>
      </c>
      <c r="K29" t="s">
        <v>24</v>
      </c>
      <c r="M29" s="2">
        <f>(F39+F38+F37+F32+F41+F40)*J4^(F35/G26)</f>
        <v>304894.87450321793</v>
      </c>
      <c r="N29" t="s">
        <v>2</v>
      </c>
      <c r="P29" t="s">
        <v>0</v>
      </c>
      <c r="S29" s="5">
        <v>1923</v>
      </c>
      <c r="T29" t="s">
        <v>2</v>
      </c>
      <c r="W29" t="s">
        <v>24</v>
      </c>
      <c r="Y29" s="2">
        <f>(R39+R38+R37+R32+R41+R40)*V4^(R35/S26)</f>
        <v>306964.97525214317</v>
      </c>
      <c r="Z29" t="s">
        <v>2</v>
      </c>
      <c r="AB29" t="s">
        <v>0</v>
      </c>
      <c r="AE29" s="5">
        <v>1923</v>
      </c>
      <c r="AF29" t="s">
        <v>2</v>
      </c>
      <c r="AI29" t="s">
        <v>24</v>
      </c>
      <c r="AK29" s="2">
        <f>(AD39+AD38+AD37+AD32+AD41+AD40)*AH4^(AD35/AE26)</f>
        <v>309186.7689755006</v>
      </c>
      <c r="AL29" t="s">
        <v>2</v>
      </c>
      <c r="AN29" t="s">
        <v>0</v>
      </c>
      <c r="AQ29" s="5">
        <v>1923</v>
      </c>
      <c r="AR29" t="s">
        <v>2</v>
      </c>
      <c r="AU29" t="s">
        <v>24</v>
      </c>
      <c r="AW29" s="2">
        <f>(AP39+AP38+AP37+AP32+AP41+AP40)*AT4^(AP35/AQ26)</f>
        <v>311205.06914414314</v>
      </c>
      <c r="AX29" t="s">
        <v>2</v>
      </c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</row>
    <row r="30" spans="4:146" x14ac:dyDescent="0.2">
      <c r="D30" t="s">
        <v>34</v>
      </c>
      <c r="F30" s="2">
        <f>I28/G29</f>
        <v>83.171522579557603</v>
      </c>
      <c r="H30" t="s">
        <v>28</v>
      </c>
      <c r="I30" s="6">
        <f>I28*F40/G29</f>
        <v>153867.31677218157</v>
      </c>
      <c r="J30" t="s">
        <v>9</v>
      </c>
      <c r="M30" s="2"/>
      <c r="P30" t="s">
        <v>34</v>
      </c>
      <c r="R30" s="2">
        <f>U28/S29</f>
        <v>83.171522579557603</v>
      </c>
      <c r="T30" t="s">
        <v>28</v>
      </c>
      <c r="U30" s="6">
        <f>U28*R40/S29</f>
        <v>154699.03199797717</v>
      </c>
      <c r="V30" t="s">
        <v>9</v>
      </c>
      <c r="Y30" s="2"/>
      <c r="AB30" t="s">
        <v>34</v>
      </c>
      <c r="AD30" s="2">
        <f>AG28/AE29</f>
        <v>83.171522579557603</v>
      </c>
      <c r="AF30" t="s">
        <v>28</v>
      </c>
      <c r="AG30" s="6">
        <f>AG28*AD40/AE29</f>
        <v>155530.74722377272</v>
      </c>
      <c r="AH30" t="s">
        <v>9</v>
      </c>
      <c r="AK30" s="2"/>
      <c r="AN30" t="s">
        <v>34</v>
      </c>
      <c r="AP30" s="2">
        <f>AS28/AQ29</f>
        <v>83.171522579557603</v>
      </c>
      <c r="AR30" t="s">
        <v>28</v>
      </c>
      <c r="AS30" s="6">
        <f>AS28*AP40/AQ29</f>
        <v>157194.1776753639</v>
      </c>
      <c r="AT30" t="s">
        <v>9</v>
      </c>
      <c r="AW30" s="2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</row>
    <row r="31" spans="4:146" x14ac:dyDescent="0.2">
      <c r="D31" t="s">
        <v>11</v>
      </c>
      <c r="F31" s="5">
        <v>40</v>
      </c>
      <c r="K31" t="s">
        <v>27</v>
      </c>
      <c r="M31" s="2">
        <f>M29-(F40+F39+F38+F41+F37+F32)</f>
        <v>174893.48180987791</v>
      </c>
      <c r="N31" t="s">
        <v>2</v>
      </c>
      <c r="P31" t="s">
        <v>11</v>
      </c>
      <c r="R31" s="5">
        <v>40</v>
      </c>
      <c r="W31" t="s">
        <v>27</v>
      </c>
      <c r="Y31" s="2">
        <f>Y29-(R40+R39+R38+R41+R37+R32)</f>
        <v>175359.15168496763</v>
      </c>
      <c r="Z31" t="s">
        <v>2</v>
      </c>
      <c r="AB31" t="s">
        <v>11</v>
      </c>
      <c r="AD31" s="5">
        <v>40</v>
      </c>
      <c r="AI31" t="s">
        <v>27</v>
      </c>
      <c r="AK31" s="2">
        <f>AK29-(AD40+AD39+AD38+AD41+AD37+AD32)</f>
        <v>175897.37797358676</v>
      </c>
      <c r="AL31" t="s">
        <v>2</v>
      </c>
      <c r="AN31" t="s">
        <v>11</v>
      </c>
      <c r="AP31" s="5">
        <v>40</v>
      </c>
      <c r="AU31" t="s">
        <v>27</v>
      </c>
      <c r="AW31" s="2">
        <f>AW29-(AP40+AP39+AP38+AP41+AP37+AP32)</f>
        <v>176305.75362882111</v>
      </c>
      <c r="AX31" t="s">
        <v>2</v>
      </c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</row>
    <row r="32" spans="4:146" x14ac:dyDescent="0.2">
      <c r="D32" t="s">
        <v>12</v>
      </c>
      <c r="F32" s="5">
        <v>20</v>
      </c>
      <c r="G32" t="s">
        <v>2</v>
      </c>
      <c r="K32" t="s">
        <v>44</v>
      </c>
      <c r="M32" s="2">
        <f>F41+F40+F38+F37+F32</f>
        <v>28225</v>
      </c>
      <c r="N32" t="s">
        <v>2</v>
      </c>
      <c r="P32" t="s">
        <v>12</v>
      </c>
      <c r="R32" s="5">
        <v>20</v>
      </c>
      <c r="S32" t="s">
        <v>2</v>
      </c>
      <c r="W32" t="s">
        <v>44</v>
      </c>
      <c r="Y32" s="2">
        <f>R41+R40+R38+R37+R32</f>
        <v>28337.5</v>
      </c>
      <c r="Z32" t="s">
        <v>2</v>
      </c>
      <c r="AB32" t="s">
        <v>12</v>
      </c>
      <c r="AD32" s="5">
        <v>20</v>
      </c>
      <c r="AE32" t="s">
        <v>2</v>
      </c>
      <c r="AI32" t="s">
        <v>44</v>
      </c>
      <c r="AK32" s="2">
        <f>AD41+AD40+AD38+AD37+AD32</f>
        <v>28512.5</v>
      </c>
      <c r="AL32" t="s">
        <v>2</v>
      </c>
      <c r="AN32" t="s">
        <v>12</v>
      </c>
      <c r="AP32" s="5">
        <v>20</v>
      </c>
      <c r="AQ32" t="s">
        <v>2</v>
      </c>
      <c r="AU32" t="s">
        <v>44</v>
      </c>
      <c r="AW32" s="2">
        <f>AP41+AP40+AP38+AP37+AP32</f>
        <v>28581.25</v>
      </c>
      <c r="AX32" t="s">
        <v>2</v>
      </c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</row>
    <row r="33" spans="4:146" x14ac:dyDescent="0.2">
      <c r="D33" t="s">
        <v>13</v>
      </c>
      <c r="F33" s="5">
        <v>1E-3</v>
      </c>
      <c r="P33" t="s">
        <v>13</v>
      </c>
      <c r="R33" s="5">
        <v>1E-3</v>
      </c>
      <c r="AB33" t="s">
        <v>13</v>
      </c>
      <c r="AD33" s="5">
        <v>1E-3</v>
      </c>
      <c r="AN33" t="s">
        <v>13</v>
      </c>
      <c r="AP33" s="5">
        <v>1E-3</v>
      </c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</row>
    <row r="34" spans="4:146" x14ac:dyDescent="0.2">
      <c r="D34" t="s">
        <v>14</v>
      </c>
      <c r="F34" s="5">
        <v>0.5</v>
      </c>
      <c r="P34" t="s">
        <v>14</v>
      </c>
      <c r="R34" s="5">
        <v>0.5</v>
      </c>
      <c r="AB34" t="s">
        <v>14</v>
      </c>
      <c r="AD34" s="5">
        <v>0.5</v>
      </c>
      <c r="AN34" t="s">
        <v>14</v>
      </c>
      <c r="AP34" s="5">
        <v>0.5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</row>
    <row r="35" spans="4:146" x14ac:dyDescent="0.2">
      <c r="D35" t="s">
        <v>15</v>
      </c>
      <c r="F35" s="5">
        <f>(7800-F15)/2</f>
        <v>3875</v>
      </c>
      <c r="G35" t="s">
        <v>1</v>
      </c>
      <c r="P35" t="s">
        <v>15</v>
      </c>
      <c r="R35" s="5">
        <f>(7800-R15)/2</f>
        <v>3850</v>
      </c>
      <c r="S35" t="s">
        <v>1</v>
      </c>
      <c r="AB35" t="s">
        <v>15</v>
      </c>
      <c r="AD35" s="5">
        <f>(7800-AD15)/2</f>
        <v>3825</v>
      </c>
      <c r="AE35" t="s">
        <v>1</v>
      </c>
      <c r="AN35" t="s">
        <v>15</v>
      </c>
      <c r="AP35" s="5">
        <f>(7800-AP15)/2</f>
        <v>3800</v>
      </c>
      <c r="AQ35" t="s">
        <v>1</v>
      </c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</row>
    <row r="36" spans="4:146" x14ac:dyDescent="0.2">
      <c r="H36" t="s">
        <v>26</v>
      </c>
      <c r="J36" t="s">
        <v>37</v>
      </c>
      <c r="T36" t="s">
        <v>26</v>
      </c>
      <c r="V36" t="s">
        <v>37</v>
      </c>
      <c r="AF36" t="s">
        <v>26</v>
      </c>
      <c r="AH36" t="s">
        <v>37</v>
      </c>
      <c r="AR36" t="s">
        <v>26</v>
      </c>
      <c r="AT36" t="s">
        <v>37</v>
      </c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</row>
    <row r="37" spans="4:146" x14ac:dyDescent="0.2">
      <c r="D37" t="s">
        <v>21</v>
      </c>
      <c r="F37" s="7">
        <v>25500</v>
      </c>
      <c r="G37" t="s">
        <v>2</v>
      </c>
      <c r="H37" s="6">
        <f>M29/F31</f>
        <v>7622.3718625804486</v>
      </c>
      <c r="J37" s="6">
        <f>F37-H37</f>
        <v>17877.628137419553</v>
      </c>
      <c r="K37" t="s">
        <v>2</v>
      </c>
      <c r="P37" t="s">
        <v>21</v>
      </c>
      <c r="R37" s="7">
        <v>25600</v>
      </c>
      <c r="S37" t="s">
        <v>2</v>
      </c>
      <c r="T37" s="6">
        <f>Y29/R31</f>
        <v>7674.124381303579</v>
      </c>
      <c r="V37" s="6">
        <f>R37-T37</f>
        <v>17925.87561869642</v>
      </c>
      <c r="W37" t="s">
        <v>2</v>
      </c>
      <c r="AB37" t="s">
        <v>21</v>
      </c>
      <c r="AD37" s="7">
        <v>25750</v>
      </c>
      <c r="AE37" t="s">
        <v>2</v>
      </c>
      <c r="AF37" s="6">
        <f>AK29/AD31</f>
        <v>7729.669224387515</v>
      </c>
      <c r="AH37" s="6">
        <f>AD37-AF37</f>
        <v>18020.330775612485</v>
      </c>
      <c r="AI37" t="s">
        <v>2</v>
      </c>
      <c r="AN37" t="s">
        <v>21</v>
      </c>
      <c r="AP37" s="7">
        <v>25800</v>
      </c>
      <c r="AQ37" t="s">
        <v>2</v>
      </c>
      <c r="AR37" s="6">
        <f>AW29/AP31</f>
        <v>7780.1267286035782</v>
      </c>
      <c r="AT37" s="6">
        <f>AP37-AR37</f>
        <v>18019.87327139642</v>
      </c>
      <c r="AU37" t="s">
        <v>2</v>
      </c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</row>
    <row r="38" spans="4:146" x14ac:dyDescent="0.2">
      <c r="D38" t="s">
        <v>22</v>
      </c>
      <c r="F38" s="9">
        <v>310</v>
      </c>
      <c r="G38" t="s">
        <v>2</v>
      </c>
      <c r="H38" s="6">
        <f>M29*F33</f>
        <v>304.89487450321792</v>
      </c>
      <c r="P38" t="s">
        <v>22</v>
      </c>
      <c r="R38" s="9">
        <v>310</v>
      </c>
      <c r="S38" t="s">
        <v>2</v>
      </c>
      <c r="T38" s="6">
        <f>Y29*R33</f>
        <v>306.96497525214318</v>
      </c>
      <c r="AB38" t="s">
        <v>22</v>
      </c>
      <c r="AD38" s="9">
        <v>320</v>
      </c>
      <c r="AE38" t="s">
        <v>2</v>
      </c>
      <c r="AF38" s="6">
        <f>AK29*AD33</f>
        <v>309.18676897550063</v>
      </c>
      <c r="AN38" t="s">
        <v>22</v>
      </c>
      <c r="AP38" s="9">
        <v>315</v>
      </c>
      <c r="AQ38" t="s">
        <v>2</v>
      </c>
      <c r="AR38" s="6">
        <f>AW29*AP33</f>
        <v>311.20506914414312</v>
      </c>
      <c r="AZ38" s="14"/>
      <c r="BA38" s="14"/>
      <c r="BB38" s="15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5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5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5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5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5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5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5"/>
      <c r="EI38" s="14"/>
      <c r="EJ38" s="14"/>
      <c r="EK38" s="14"/>
      <c r="EL38" s="14"/>
      <c r="EM38" s="14"/>
      <c r="EN38" s="14"/>
      <c r="EO38" s="14"/>
      <c r="EP38" s="14"/>
    </row>
    <row r="39" spans="4:146" x14ac:dyDescent="0.2">
      <c r="D39" t="s">
        <v>23</v>
      </c>
      <c r="F39" s="2">
        <f>M9</f>
        <v>101776.39269334004</v>
      </c>
      <c r="G39" t="s">
        <v>2</v>
      </c>
      <c r="P39" t="s">
        <v>23</v>
      </c>
      <c r="R39" s="2">
        <f>Y9</f>
        <v>103268.32356717552</v>
      </c>
      <c r="S39" t="s">
        <v>2</v>
      </c>
      <c r="AB39" t="s">
        <v>23</v>
      </c>
      <c r="AD39" s="2">
        <f>AK9</f>
        <v>104776.89100191384</v>
      </c>
      <c r="AE39" t="s">
        <v>2</v>
      </c>
      <c r="AN39" t="s">
        <v>23</v>
      </c>
      <c r="AP39" s="2">
        <f>AW9</f>
        <v>106318.06551532203</v>
      </c>
      <c r="AQ39" t="s">
        <v>2</v>
      </c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</row>
    <row r="40" spans="4:146" x14ac:dyDescent="0.2">
      <c r="D40" t="s">
        <v>25</v>
      </c>
      <c r="F40" s="7">
        <v>1850</v>
      </c>
      <c r="G40" t="s">
        <v>2</v>
      </c>
      <c r="H40" s="6">
        <f>M29*F34/F30</f>
        <v>1832.9282971318166</v>
      </c>
      <c r="P40" t="s">
        <v>25</v>
      </c>
      <c r="R40" s="7">
        <v>1860</v>
      </c>
      <c r="S40" t="s">
        <v>2</v>
      </c>
      <c r="T40" s="6">
        <f>Y29*R34/R30</f>
        <v>1845.3730659945311</v>
      </c>
      <c r="AB40" t="s">
        <v>25</v>
      </c>
      <c r="AD40" s="7">
        <v>1870</v>
      </c>
      <c r="AE40" t="s">
        <v>2</v>
      </c>
      <c r="AF40" s="6">
        <f>AK29*AD34/AD30</f>
        <v>1858.7297634220199</v>
      </c>
      <c r="AN40" t="s">
        <v>25</v>
      </c>
      <c r="AP40" s="7">
        <v>1890</v>
      </c>
      <c r="AQ40" t="s">
        <v>2</v>
      </c>
      <c r="AR40" s="6">
        <f>AW29*AP34/AP30</f>
        <v>1870.8631241327846</v>
      </c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</row>
    <row r="41" spans="4:146" x14ac:dyDescent="0.2">
      <c r="D41" t="s">
        <v>45</v>
      </c>
      <c r="F41" s="7">
        <f>(F40+F38+F32)/4</f>
        <v>545</v>
      </c>
      <c r="G41" t="s">
        <v>2</v>
      </c>
      <c r="K41" t="s">
        <v>46</v>
      </c>
      <c r="M41" s="2">
        <f>F41+F40+F38</f>
        <v>2705</v>
      </c>
      <c r="N41" t="s">
        <v>2</v>
      </c>
      <c r="P41" t="s">
        <v>45</v>
      </c>
      <c r="R41" s="7">
        <f>(R40+R38+R32)/4</f>
        <v>547.5</v>
      </c>
      <c r="S41" t="s">
        <v>2</v>
      </c>
      <c r="W41" t="s">
        <v>46</v>
      </c>
      <c r="Y41" s="2">
        <f>R41+R40+R38</f>
        <v>2717.5</v>
      </c>
      <c r="Z41" t="s">
        <v>2</v>
      </c>
      <c r="AB41" t="s">
        <v>45</v>
      </c>
      <c r="AD41" s="7">
        <f>(AD40+AD38+AD32)/4</f>
        <v>552.5</v>
      </c>
      <c r="AE41" t="s">
        <v>2</v>
      </c>
      <c r="AI41" t="s">
        <v>46</v>
      </c>
      <c r="AK41" s="2">
        <f>AD41+AD40+AD38</f>
        <v>2742.5</v>
      </c>
      <c r="AL41" t="s">
        <v>2</v>
      </c>
      <c r="AN41" t="s">
        <v>45</v>
      </c>
      <c r="AP41" s="7">
        <f>(AP40+AP38+AP32)/4</f>
        <v>556.25</v>
      </c>
      <c r="AQ41" t="s">
        <v>2</v>
      </c>
      <c r="AU41" t="s">
        <v>46</v>
      </c>
      <c r="AW41" s="2">
        <f>AP41+AP40+AP38</f>
        <v>2761.25</v>
      </c>
      <c r="AX41" t="s">
        <v>2</v>
      </c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</row>
    <row r="42" spans="4:146" x14ac:dyDescent="0.2">
      <c r="K42" t="s">
        <v>47</v>
      </c>
      <c r="M42" s="2">
        <f>M52+M31</f>
        <v>585074.67358864378</v>
      </c>
      <c r="N42" t="s">
        <v>2</v>
      </c>
      <c r="W42" t="s">
        <v>47</v>
      </c>
      <c r="Y42" s="2">
        <f>Y52+Y31</f>
        <v>584376.90027826536</v>
      </c>
      <c r="Z42" t="s">
        <v>2</v>
      </c>
      <c r="AI42" t="s">
        <v>47</v>
      </c>
      <c r="AK42" s="2">
        <f>AK52+AK31</f>
        <v>583920.4138514743</v>
      </c>
      <c r="AL42" t="s">
        <v>2</v>
      </c>
      <c r="AU42" t="s">
        <v>47</v>
      </c>
      <c r="AW42" s="2">
        <f>AW52+AW31</f>
        <v>583033.12684766925</v>
      </c>
      <c r="AX42" t="s">
        <v>2</v>
      </c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</row>
    <row r="43" spans="4:146" x14ac:dyDescent="0.2"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</row>
    <row r="44" spans="4:146" x14ac:dyDescent="0.2">
      <c r="D44" t="s">
        <v>36</v>
      </c>
      <c r="P44" t="s">
        <v>36</v>
      </c>
      <c r="AB44" t="s">
        <v>36</v>
      </c>
      <c r="AN44" t="s">
        <v>36</v>
      </c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</row>
    <row r="45" spans="4:146" x14ac:dyDescent="0.2">
      <c r="D45" t="s">
        <v>29</v>
      </c>
      <c r="P45" t="s">
        <v>29</v>
      </c>
      <c r="AB45" t="s">
        <v>29</v>
      </c>
      <c r="AN45" t="s">
        <v>29</v>
      </c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</row>
    <row r="46" spans="4:146" x14ac:dyDescent="0.2">
      <c r="D46" t="s">
        <v>31</v>
      </c>
      <c r="G46" s="5">
        <v>4071</v>
      </c>
      <c r="H46" t="s">
        <v>1</v>
      </c>
      <c r="P46" t="s">
        <v>31</v>
      </c>
      <c r="S46" s="5">
        <v>4071</v>
      </c>
      <c r="T46" t="s">
        <v>1</v>
      </c>
      <c r="AB46" t="s">
        <v>31</v>
      </c>
      <c r="AE46" s="5">
        <v>4071</v>
      </c>
      <c r="AF46" t="s">
        <v>1</v>
      </c>
      <c r="AN46" t="s">
        <v>31</v>
      </c>
      <c r="AQ46" s="5">
        <v>4071</v>
      </c>
      <c r="AR46" t="s">
        <v>1</v>
      </c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</row>
    <row r="47" spans="4:146" x14ac:dyDescent="0.2">
      <c r="D47" t="s">
        <v>32</v>
      </c>
      <c r="G47" s="5">
        <v>4532</v>
      </c>
      <c r="H47" t="s">
        <v>1</v>
      </c>
      <c r="P47" t="s">
        <v>32</v>
      </c>
      <c r="S47" s="5">
        <v>4532</v>
      </c>
      <c r="T47" t="s">
        <v>1</v>
      </c>
      <c r="AB47" t="s">
        <v>32</v>
      </c>
      <c r="AE47" s="5">
        <v>4532</v>
      </c>
      <c r="AF47" t="s">
        <v>1</v>
      </c>
      <c r="AN47" t="s">
        <v>32</v>
      </c>
      <c r="AQ47" s="5">
        <v>4532</v>
      </c>
      <c r="AR47" t="s">
        <v>1</v>
      </c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</row>
    <row r="48" spans="4:146" x14ac:dyDescent="0.2">
      <c r="D48" t="s">
        <v>30</v>
      </c>
      <c r="G48" s="5">
        <v>4001.2</v>
      </c>
      <c r="H48" t="s">
        <v>8</v>
      </c>
      <c r="I48">
        <f>G48*1000/J5</f>
        <v>407869.52089704381</v>
      </c>
      <c r="J48" t="s">
        <v>9</v>
      </c>
      <c r="P48" t="s">
        <v>30</v>
      </c>
      <c r="S48" s="5">
        <v>4001.2</v>
      </c>
      <c r="T48" t="s">
        <v>8</v>
      </c>
      <c r="U48">
        <f>S48*1000/V5</f>
        <v>407869.52089704381</v>
      </c>
      <c r="V48" t="s">
        <v>9</v>
      </c>
      <c r="AB48" t="s">
        <v>30</v>
      </c>
      <c r="AE48" s="5">
        <v>4001.2</v>
      </c>
      <c r="AF48" t="s">
        <v>8</v>
      </c>
      <c r="AG48">
        <f>AE48*1000/AH5</f>
        <v>407869.52089704381</v>
      </c>
      <c r="AH48" t="s">
        <v>9</v>
      </c>
      <c r="AN48" t="s">
        <v>30</v>
      </c>
      <c r="AQ48" s="5">
        <v>4001.2</v>
      </c>
      <c r="AR48" t="s">
        <v>8</v>
      </c>
      <c r="AS48">
        <f>AQ48*1000/AT5</f>
        <v>407869.52089704381</v>
      </c>
      <c r="AT48" t="s">
        <v>9</v>
      </c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</row>
    <row r="49" spans="4:146" x14ac:dyDescent="0.2">
      <c r="D49" t="s">
        <v>33</v>
      </c>
      <c r="G49" s="5">
        <v>1569</v>
      </c>
      <c r="H49" t="s">
        <v>8</v>
      </c>
      <c r="I49">
        <f>G49*1000/J5</f>
        <v>159938.83792048928</v>
      </c>
      <c r="J49" t="s">
        <v>9</v>
      </c>
      <c r="P49" t="s">
        <v>33</v>
      </c>
      <c r="S49" s="5">
        <v>1569</v>
      </c>
      <c r="T49" t="s">
        <v>8</v>
      </c>
      <c r="U49">
        <f>S49*1000/V5</f>
        <v>159938.83792048928</v>
      </c>
      <c r="V49" t="s">
        <v>9</v>
      </c>
      <c r="AB49" t="s">
        <v>33</v>
      </c>
      <c r="AE49" s="5">
        <v>1569</v>
      </c>
      <c r="AF49" t="s">
        <v>8</v>
      </c>
      <c r="AG49">
        <f>AE49*1000/AH5</f>
        <v>159938.83792048928</v>
      </c>
      <c r="AH49" t="s">
        <v>9</v>
      </c>
      <c r="AN49" t="s">
        <v>33</v>
      </c>
      <c r="AQ49" s="5">
        <v>1569</v>
      </c>
      <c r="AR49" t="s">
        <v>8</v>
      </c>
      <c r="AS49">
        <f>AQ49*1000/AT5</f>
        <v>159938.83792048928</v>
      </c>
      <c r="AT49" t="s">
        <v>9</v>
      </c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</row>
    <row r="50" spans="4:146" x14ac:dyDescent="0.2">
      <c r="D50" t="s">
        <v>0</v>
      </c>
      <c r="G50" s="5">
        <v>1923</v>
      </c>
      <c r="H50" t="s">
        <v>2</v>
      </c>
      <c r="K50" t="s">
        <v>24</v>
      </c>
      <c r="M50" s="2">
        <f>(F60+F59+F58+F53+F61)*J4^(F56/G47)</f>
        <v>715076.06628198375</v>
      </c>
      <c r="N50" t="s">
        <v>2</v>
      </c>
      <c r="P50" t="s">
        <v>0</v>
      </c>
      <c r="S50" s="5">
        <v>1923</v>
      </c>
      <c r="T50" t="s">
        <v>2</v>
      </c>
      <c r="W50" t="s">
        <v>24</v>
      </c>
      <c r="Y50" s="2">
        <f>(R60+R59+R58+R53+R61)*V4^(R56/S47)</f>
        <v>715982.72384544089</v>
      </c>
      <c r="Z50" t="s">
        <v>2</v>
      </c>
      <c r="AB50" t="s">
        <v>0</v>
      </c>
      <c r="AE50" s="5">
        <v>1923</v>
      </c>
      <c r="AF50" t="s">
        <v>2</v>
      </c>
      <c r="AI50" t="s">
        <v>24</v>
      </c>
      <c r="AK50" s="2">
        <f>(AD60+AD59+AD58+AD53+AD61)*AH4^(AD56/AE47)</f>
        <v>717209.80485338811</v>
      </c>
      <c r="AL50" t="s">
        <v>2</v>
      </c>
      <c r="AN50" t="s">
        <v>0</v>
      </c>
      <c r="AQ50" s="5">
        <v>1923</v>
      </c>
      <c r="AR50" t="s">
        <v>2</v>
      </c>
      <c r="AU50" t="s">
        <v>24</v>
      </c>
      <c r="AW50" s="2">
        <f>(AP60+AP59+AP58+AP53+AP61)*AT4^(AP56/AQ47)</f>
        <v>717932.44236299128</v>
      </c>
      <c r="AX50" t="s">
        <v>2</v>
      </c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</row>
    <row r="51" spans="4:146" x14ac:dyDescent="0.2">
      <c r="D51" t="s">
        <v>34</v>
      </c>
      <c r="F51" s="2">
        <f>I48/G50</f>
        <v>212.10063489185845</v>
      </c>
      <c r="H51" t="s">
        <v>28</v>
      </c>
      <c r="I51" s="6">
        <f>I48*F40/G50</f>
        <v>392386.17454993812</v>
      </c>
      <c r="J51" t="s">
        <v>9</v>
      </c>
      <c r="P51" t="s">
        <v>34</v>
      </c>
      <c r="R51" s="2">
        <f>U48/S50</f>
        <v>212.10063489185845</v>
      </c>
      <c r="T51" t="s">
        <v>28</v>
      </c>
      <c r="U51" s="6">
        <f>U48*R40/S50</f>
        <v>394507.18089885678</v>
      </c>
      <c r="V51" t="s">
        <v>9</v>
      </c>
      <c r="AB51" t="s">
        <v>34</v>
      </c>
      <c r="AD51" s="2">
        <f>AG48/AE50</f>
        <v>212.10063489185845</v>
      </c>
      <c r="AF51" t="s">
        <v>28</v>
      </c>
      <c r="AG51" s="6">
        <f>AG48*AD40/AE50</f>
        <v>396628.18724777532</v>
      </c>
      <c r="AH51" t="s">
        <v>9</v>
      </c>
      <c r="AN51" t="s">
        <v>34</v>
      </c>
      <c r="AP51" s="2">
        <f>AS48/AQ50</f>
        <v>212.10063489185845</v>
      </c>
      <c r="AR51" t="s">
        <v>28</v>
      </c>
      <c r="AS51" s="6">
        <f>AS48*AP40/AQ50</f>
        <v>400870.19994561252</v>
      </c>
      <c r="AT51" t="s">
        <v>9</v>
      </c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</row>
    <row r="52" spans="4:146" x14ac:dyDescent="0.2">
      <c r="D52" t="s">
        <v>11</v>
      </c>
      <c r="F52" s="5">
        <v>40</v>
      </c>
      <c r="K52" t="s">
        <v>27</v>
      </c>
      <c r="M52" s="2">
        <f>M50-(F61+F60+F59+F58+F53)</f>
        <v>410181.19177876582</v>
      </c>
      <c r="N52" t="s">
        <v>2</v>
      </c>
      <c r="P52" t="s">
        <v>11</v>
      </c>
      <c r="R52" s="5">
        <v>40</v>
      </c>
      <c r="W52" t="s">
        <v>27</v>
      </c>
      <c r="Y52" s="2">
        <f>Y50-(R61+R60+R59+R58+R53)</f>
        <v>409017.74859329773</v>
      </c>
      <c r="Z52" t="s">
        <v>2</v>
      </c>
      <c r="AB52" t="s">
        <v>11</v>
      </c>
      <c r="AD52" s="5">
        <v>40</v>
      </c>
      <c r="AI52" t="s">
        <v>27</v>
      </c>
      <c r="AK52" s="2">
        <f>AK50-(AD61+AD60+AD59+AD58+AD53)</f>
        <v>408023.03587788751</v>
      </c>
      <c r="AL52" t="s">
        <v>2</v>
      </c>
      <c r="AN52" t="s">
        <v>11</v>
      </c>
      <c r="AP52" s="5">
        <v>40</v>
      </c>
      <c r="AU52" t="s">
        <v>27</v>
      </c>
      <c r="AW52" s="2">
        <f>AW50-(AP61+AP60+AP59+AP58+AP53)</f>
        <v>406727.37321884814</v>
      </c>
      <c r="AX52" t="s">
        <v>2</v>
      </c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</row>
    <row r="53" spans="4:146" x14ac:dyDescent="0.2">
      <c r="D53" t="s">
        <v>12</v>
      </c>
      <c r="F53" s="5">
        <v>0</v>
      </c>
      <c r="G53" t="s">
        <v>2</v>
      </c>
      <c r="P53" t="s">
        <v>12</v>
      </c>
      <c r="R53" s="5">
        <v>0</v>
      </c>
      <c r="S53" t="s">
        <v>2</v>
      </c>
      <c r="AB53" t="s">
        <v>12</v>
      </c>
      <c r="AD53" s="5">
        <v>0</v>
      </c>
      <c r="AE53" t="s">
        <v>2</v>
      </c>
      <c r="AN53" t="s">
        <v>12</v>
      </c>
      <c r="AP53" s="5">
        <v>0</v>
      </c>
      <c r="AQ53" t="s">
        <v>2</v>
      </c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</row>
    <row r="54" spans="4:146" x14ac:dyDescent="0.2">
      <c r="D54" t="s">
        <v>13</v>
      </c>
      <c r="F54" s="5">
        <v>0</v>
      </c>
      <c r="P54" t="s">
        <v>13</v>
      </c>
      <c r="R54" s="5">
        <v>0</v>
      </c>
      <c r="AB54" t="s">
        <v>13</v>
      </c>
      <c r="AD54" s="5">
        <v>0</v>
      </c>
      <c r="AN54" t="s">
        <v>13</v>
      </c>
      <c r="AP54" s="5">
        <v>0</v>
      </c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</row>
    <row r="55" spans="4:146" x14ac:dyDescent="0.2">
      <c r="D55" t="s">
        <v>14</v>
      </c>
      <c r="F55" s="5">
        <v>0.5</v>
      </c>
      <c r="P55" t="s">
        <v>14</v>
      </c>
      <c r="R55" s="5">
        <v>0.5</v>
      </c>
      <c r="AB55" t="s">
        <v>14</v>
      </c>
      <c r="AD55" s="5">
        <v>0.5</v>
      </c>
      <c r="AN55" t="s">
        <v>14</v>
      </c>
      <c r="AP55" s="5">
        <v>0.5</v>
      </c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</row>
    <row r="56" spans="4:146" x14ac:dyDescent="0.2">
      <c r="D56" t="s">
        <v>15</v>
      </c>
      <c r="F56" s="5">
        <f>7800-F35-F15</f>
        <v>3875</v>
      </c>
      <c r="G56" t="s">
        <v>1</v>
      </c>
      <c r="P56" t="s">
        <v>15</v>
      </c>
      <c r="R56" s="5">
        <f>7800-R35-R15</f>
        <v>3850</v>
      </c>
      <c r="S56" t="s">
        <v>1</v>
      </c>
      <c r="AB56" t="s">
        <v>15</v>
      </c>
      <c r="AD56" s="5">
        <f>7800-AD35-AD15</f>
        <v>3825</v>
      </c>
      <c r="AE56" t="s">
        <v>1</v>
      </c>
      <c r="AN56" t="s">
        <v>15</v>
      </c>
      <c r="AP56" s="5">
        <f>7800-AP35-AP15</f>
        <v>3800</v>
      </c>
      <c r="AQ56" t="s">
        <v>1</v>
      </c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</row>
    <row r="57" spans="4:146" x14ac:dyDescent="0.2">
      <c r="H57" t="s">
        <v>26</v>
      </c>
      <c r="T57" t="s">
        <v>26</v>
      </c>
      <c r="AF57" t="s">
        <v>26</v>
      </c>
      <c r="AR57" t="s">
        <v>26</v>
      </c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</row>
    <row r="58" spans="4:146" x14ac:dyDescent="0.2">
      <c r="D58" t="s">
        <v>21</v>
      </c>
      <c r="F58" s="7">
        <v>0</v>
      </c>
      <c r="G58" t="s">
        <v>2</v>
      </c>
      <c r="H58" s="6">
        <f>M50/F52</f>
        <v>17876.901657049595</v>
      </c>
      <c r="I58" t="s">
        <v>38</v>
      </c>
      <c r="P58" t="s">
        <v>21</v>
      </c>
      <c r="R58" s="7">
        <v>0</v>
      </c>
      <c r="S58" t="s">
        <v>2</v>
      </c>
      <c r="T58" s="6">
        <f>Y50/R52</f>
        <v>17899.568096136023</v>
      </c>
      <c r="U58" t="s">
        <v>38</v>
      </c>
      <c r="AB58" t="s">
        <v>21</v>
      </c>
      <c r="AD58" s="7">
        <v>0</v>
      </c>
      <c r="AE58" t="s">
        <v>2</v>
      </c>
      <c r="AF58" s="6">
        <f>AK50/AD52</f>
        <v>17930.245121334701</v>
      </c>
      <c r="AG58" t="s">
        <v>38</v>
      </c>
      <c r="AN58" t="s">
        <v>21</v>
      </c>
      <c r="AP58" s="7">
        <v>0</v>
      </c>
      <c r="AQ58" t="s">
        <v>2</v>
      </c>
      <c r="AR58" s="6">
        <f>AW50/AP52</f>
        <v>17948.311059074782</v>
      </c>
      <c r="AS58" t="s">
        <v>38</v>
      </c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</row>
    <row r="59" spans="4:146" x14ac:dyDescent="0.2">
      <c r="D59" t="s">
        <v>22</v>
      </c>
      <c r="F59" s="9">
        <v>0</v>
      </c>
      <c r="G59" t="s">
        <v>2</v>
      </c>
      <c r="H59" s="6">
        <f>M50*F54</f>
        <v>0</v>
      </c>
      <c r="I59" t="s">
        <v>38</v>
      </c>
      <c r="P59" t="s">
        <v>22</v>
      </c>
      <c r="R59" s="9">
        <v>0</v>
      </c>
      <c r="S59" t="s">
        <v>2</v>
      </c>
      <c r="T59" s="6">
        <f>Y50*R54</f>
        <v>0</v>
      </c>
      <c r="U59" t="s">
        <v>38</v>
      </c>
      <c r="AB59" t="s">
        <v>22</v>
      </c>
      <c r="AD59" s="9">
        <v>0</v>
      </c>
      <c r="AE59" t="s">
        <v>2</v>
      </c>
      <c r="AF59" s="6">
        <f>AK50*AD54</f>
        <v>0</v>
      </c>
      <c r="AG59" t="s">
        <v>38</v>
      </c>
      <c r="AN59" t="s">
        <v>22</v>
      </c>
      <c r="AP59" s="9">
        <v>0</v>
      </c>
      <c r="AQ59" t="s">
        <v>2</v>
      </c>
      <c r="AR59" s="6">
        <f>AW50*AP54</f>
        <v>0</v>
      </c>
      <c r="AS59" t="s">
        <v>38</v>
      </c>
      <c r="AZ59" s="14"/>
      <c r="BA59" s="14"/>
      <c r="BB59" s="15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5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5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5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5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5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5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5"/>
      <c r="EI59" s="14"/>
      <c r="EJ59" s="14"/>
      <c r="EK59" s="14"/>
      <c r="EL59" s="14"/>
      <c r="EM59" s="14"/>
      <c r="EN59" s="14"/>
      <c r="EO59" s="14"/>
      <c r="EP59" s="14"/>
    </row>
    <row r="60" spans="4:146" x14ac:dyDescent="0.2">
      <c r="D60" t="s">
        <v>23</v>
      </c>
      <c r="F60" s="2">
        <f>M29</f>
        <v>304894.87450321793</v>
      </c>
      <c r="G60" t="s">
        <v>2</v>
      </c>
      <c r="P60" t="s">
        <v>23</v>
      </c>
      <c r="R60" s="2">
        <f>Y29</f>
        <v>306964.97525214317</v>
      </c>
      <c r="S60" t="s">
        <v>2</v>
      </c>
      <c r="AB60" t="s">
        <v>23</v>
      </c>
      <c r="AD60" s="2">
        <f>AK29</f>
        <v>309186.7689755006</v>
      </c>
      <c r="AE60" t="s">
        <v>2</v>
      </c>
      <c r="AN60" t="s">
        <v>23</v>
      </c>
      <c r="AP60" s="2">
        <f>AW29</f>
        <v>311205.06914414314</v>
      </c>
      <c r="AQ60" t="s">
        <v>2</v>
      </c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</row>
    <row r="61" spans="4:146" x14ac:dyDescent="0.2">
      <c r="D61" t="s">
        <v>25</v>
      </c>
      <c r="F61" s="7">
        <v>0</v>
      </c>
      <c r="G61" t="s">
        <v>2</v>
      </c>
      <c r="H61" s="6">
        <f>M50*F55/F51</f>
        <v>1685.6999665431745</v>
      </c>
      <c r="I61" t="s">
        <v>38</v>
      </c>
      <c r="P61" t="s">
        <v>25</v>
      </c>
      <c r="R61" s="7">
        <v>0</v>
      </c>
      <c r="S61" t="s">
        <v>2</v>
      </c>
      <c r="T61" s="6">
        <f>Y50*R55/R51</f>
        <v>1687.8372952784691</v>
      </c>
      <c r="U61" t="s">
        <v>38</v>
      </c>
      <c r="AB61" t="s">
        <v>25</v>
      </c>
      <c r="AD61" s="7">
        <v>0</v>
      </c>
      <c r="AE61" t="s">
        <v>2</v>
      </c>
      <c r="AF61" s="6">
        <f>AK50*AD55/AD51</f>
        <v>1690.7299811220848</v>
      </c>
      <c r="AG61" t="s">
        <v>38</v>
      </c>
      <c r="AN61" t="s">
        <v>25</v>
      </c>
      <c r="AP61" s="7">
        <v>0</v>
      </c>
      <c r="AQ61" t="s">
        <v>2</v>
      </c>
      <c r="AR61" s="6">
        <f>AW50*AP55/AP51</f>
        <v>1692.4335062199036</v>
      </c>
      <c r="AS61" t="s">
        <v>38</v>
      </c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</row>
    <row r="62" spans="4:146" x14ac:dyDescent="0.2"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</row>
    <row r="63" spans="4:146" x14ac:dyDescent="0.2"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</row>
    <row r="64" spans="4:146" x14ac:dyDescent="0.2"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</row>
    <row r="65" spans="4:146" x14ac:dyDescent="0.2">
      <c r="D65" t="s">
        <v>39</v>
      </c>
      <c r="P65" t="s">
        <v>39</v>
      </c>
      <c r="AB65" t="s">
        <v>39</v>
      </c>
      <c r="AN65" t="s">
        <v>39</v>
      </c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</row>
    <row r="66" spans="4:146" x14ac:dyDescent="0.2">
      <c r="D66" t="s">
        <v>40</v>
      </c>
      <c r="P66" t="s">
        <v>40</v>
      </c>
      <c r="AB66" t="s">
        <v>40</v>
      </c>
      <c r="AN66" t="s">
        <v>40</v>
      </c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</row>
    <row r="67" spans="4:146" x14ac:dyDescent="0.2">
      <c r="D67" t="s">
        <v>41</v>
      </c>
      <c r="G67" s="5">
        <f>320*J5</f>
        <v>3139.2000000000003</v>
      </c>
      <c r="H67" t="s">
        <v>1</v>
      </c>
      <c r="P67" t="s">
        <v>41</v>
      </c>
      <c r="S67" s="5">
        <f>320*V5</f>
        <v>3139.2000000000003</v>
      </c>
      <c r="T67" t="s">
        <v>1</v>
      </c>
      <c r="AB67" t="s">
        <v>41</v>
      </c>
      <c r="AE67" s="5">
        <f>320*AH5</f>
        <v>3139.2000000000003</v>
      </c>
      <c r="AF67" t="s">
        <v>1</v>
      </c>
      <c r="AN67" t="s">
        <v>41</v>
      </c>
      <c r="AQ67" s="5">
        <f>320*AT5</f>
        <v>3139.2000000000003</v>
      </c>
      <c r="AR67" t="s">
        <v>1</v>
      </c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</row>
    <row r="68" spans="4:146" x14ac:dyDescent="0.2">
      <c r="D68" t="s">
        <v>42</v>
      </c>
      <c r="G68" s="5">
        <f>740*J5</f>
        <v>7259.4000000000005</v>
      </c>
      <c r="H68" t="s">
        <v>8</v>
      </c>
      <c r="I68">
        <v>740000</v>
      </c>
      <c r="J68" t="s">
        <v>9</v>
      </c>
      <c r="P68" t="s">
        <v>42</v>
      </c>
      <c r="S68" s="5">
        <f>740*V5</f>
        <v>7259.4000000000005</v>
      </c>
      <c r="T68" t="s">
        <v>8</v>
      </c>
      <c r="U68">
        <v>740000</v>
      </c>
      <c r="V68" t="s">
        <v>9</v>
      </c>
      <c r="AB68" t="s">
        <v>42</v>
      </c>
      <c r="AE68" s="5">
        <f>740*AH5</f>
        <v>7259.4000000000005</v>
      </c>
      <c r="AF68" t="s">
        <v>8</v>
      </c>
      <c r="AG68">
        <v>740000</v>
      </c>
      <c r="AH68" t="s">
        <v>9</v>
      </c>
      <c r="AN68" t="s">
        <v>42</v>
      </c>
      <c r="AQ68" s="5">
        <f>740*AT5</f>
        <v>7259.4000000000005</v>
      </c>
      <c r="AR68" t="s">
        <v>8</v>
      </c>
      <c r="AS68">
        <v>740000</v>
      </c>
      <c r="AT68" t="s">
        <v>9</v>
      </c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</row>
    <row r="69" spans="4:146" x14ac:dyDescent="0.2">
      <c r="D69" t="s">
        <v>0</v>
      </c>
      <c r="G69" s="5">
        <v>10750</v>
      </c>
      <c r="H69" t="s">
        <v>2</v>
      </c>
      <c r="K69" t="s">
        <v>24</v>
      </c>
      <c r="M69" s="2">
        <f>(F79+F78+F77+F72+F80+F81)*J4^(F75/G67)</f>
        <v>1908615.3394090661</v>
      </c>
      <c r="N69" t="s">
        <v>2</v>
      </c>
      <c r="P69" t="s">
        <v>0</v>
      </c>
      <c r="S69" s="5">
        <v>10750</v>
      </c>
      <c r="T69" t="s">
        <v>2</v>
      </c>
      <c r="W69" t="s">
        <v>24</v>
      </c>
      <c r="Y69" s="2">
        <f>(R79+R78+R77+R72+R80+R81)*V4^(R75/S67)</f>
        <v>1910655.4272401778</v>
      </c>
      <c r="Z69" t="s">
        <v>2</v>
      </c>
      <c r="AB69" t="s">
        <v>0</v>
      </c>
      <c r="AE69" s="5">
        <v>10750</v>
      </c>
      <c r="AF69" t="s">
        <v>2</v>
      </c>
      <c r="AI69" t="s">
        <v>24</v>
      </c>
      <c r="AK69" s="2">
        <f>(AD79+AD78+AD77+AD72+AD80+AD81)*AH4^(AD75/AE67)</f>
        <v>1913416.5061005976</v>
      </c>
      <c r="AL69" t="s">
        <v>2</v>
      </c>
      <c r="AN69" t="s">
        <v>0</v>
      </c>
      <c r="AQ69" s="5">
        <v>10750</v>
      </c>
      <c r="AR69" t="s">
        <v>2</v>
      </c>
      <c r="AU69" t="s">
        <v>24</v>
      </c>
      <c r="AW69" s="2">
        <f>(AP79+AP78+AP77+AP72+AP80+AP81)*AT4^(AP75/AQ67)</f>
        <v>1915042.5268266862</v>
      </c>
      <c r="AX69" t="s">
        <v>2</v>
      </c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</row>
    <row r="70" spans="4:146" x14ac:dyDescent="0.2">
      <c r="D70" t="s">
        <v>34</v>
      </c>
      <c r="G70" s="2">
        <f>I68/G69</f>
        <v>68.837209302325576</v>
      </c>
      <c r="K70" t="s">
        <v>27</v>
      </c>
      <c r="M70" s="2">
        <f>M69-(F80+F79+F78+F77+F72+F81)</f>
        <v>1017975.4698129832</v>
      </c>
      <c r="N70" t="s">
        <v>2</v>
      </c>
      <c r="P70" t="s">
        <v>34</v>
      </c>
      <c r="S70" s="2">
        <f>U68/S69</f>
        <v>68.837209302325576</v>
      </c>
      <c r="W70" t="s">
        <v>27</v>
      </c>
      <c r="Y70" s="2">
        <f>Y69-(R80+R79+R78+R77+R72+R81)</f>
        <v>1019063.5672024648</v>
      </c>
      <c r="Z70" t="s">
        <v>2</v>
      </c>
      <c r="AB70" t="s">
        <v>34</v>
      </c>
      <c r="AE70" s="2">
        <f>AG68/AE69</f>
        <v>68.837209302325576</v>
      </c>
      <c r="AI70" t="s">
        <v>27</v>
      </c>
      <c r="AK70" s="2">
        <f>AK69-(AD80+AD79+AD78+AD77+AD72+AD81)</f>
        <v>1020536.2110045401</v>
      </c>
      <c r="AL70" t="s">
        <v>2</v>
      </c>
      <c r="AN70" t="s">
        <v>34</v>
      </c>
      <c r="AQ70" s="2">
        <f>AS68/AQ69</f>
        <v>68.837209302325576</v>
      </c>
      <c r="AU70" t="s">
        <v>27</v>
      </c>
      <c r="AW70" s="2">
        <f>AW69-(AP80+AP79+AP78+AP77+AP72+AP81)</f>
        <v>1021403.4623455454</v>
      </c>
      <c r="AX70" t="s">
        <v>2</v>
      </c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</row>
    <row r="71" spans="4:146" x14ac:dyDescent="0.2">
      <c r="D71" t="s">
        <v>11</v>
      </c>
      <c r="F71" s="5">
        <v>20</v>
      </c>
      <c r="H71" t="s">
        <v>28</v>
      </c>
      <c r="I71" s="6">
        <f>I68*F80/G69</f>
        <v>2946232.5581395347</v>
      </c>
      <c r="J71" t="s">
        <v>9</v>
      </c>
      <c r="K71" t="s">
        <v>43</v>
      </c>
      <c r="M71" s="2">
        <f>F77+F78+F80+F72+F81</f>
        <v>175563.8033140992</v>
      </c>
      <c r="N71" t="s">
        <v>2</v>
      </c>
      <c r="P71" t="s">
        <v>11</v>
      </c>
      <c r="R71" s="5">
        <v>20</v>
      </c>
      <c r="T71" t="s">
        <v>28</v>
      </c>
      <c r="U71" s="6">
        <f>U68*R80/S69</f>
        <v>2946232.5581395347</v>
      </c>
      <c r="V71" t="s">
        <v>9</v>
      </c>
      <c r="W71" t="s">
        <v>43</v>
      </c>
      <c r="Y71" s="2">
        <f>R77+R78+R80+R72+R81</f>
        <v>175609.13619227204</v>
      </c>
      <c r="Z71" t="s">
        <v>2</v>
      </c>
      <c r="AB71" t="s">
        <v>11</v>
      </c>
      <c r="AD71" s="5">
        <v>20</v>
      </c>
      <c r="AF71" t="s">
        <v>28</v>
      </c>
      <c r="AG71" s="6">
        <f>AG68*AD80/AE69</f>
        <v>2946232.5581395347</v>
      </c>
      <c r="AH71" t="s">
        <v>9</v>
      </c>
      <c r="AI71" t="s">
        <v>43</v>
      </c>
      <c r="AK71" s="2">
        <f>AD77+AD78+AD80+AD72+AD81</f>
        <v>175670.49024266942</v>
      </c>
      <c r="AL71" t="s">
        <v>2</v>
      </c>
      <c r="AN71" t="s">
        <v>11</v>
      </c>
      <c r="AP71" s="5">
        <v>20</v>
      </c>
      <c r="AR71" t="s">
        <v>28</v>
      </c>
      <c r="AS71" s="6">
        <f>AS68*AP80/AQ69</f>
        <v>2946232.5581395347</v>
      </c>
      <c r="AT71" t="s">
        <v>9</v>
      </c>
      <c r="AU71" t="s">
        <v>43</v>
      </c>
      <c r="AW71" s="2">
        <f>AP77+AP78+AP80+AP72+AP81</f>
        <v>175706.62211814956</v>
      </c>
      <c r="AX71" t="s">
        <v>2</v>
      </c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</row>
    <row r="72" spans="4:146" x14ac:dyDescent="0.2">
      <c r="D72" t="s">
        <v>12</v>
      </c>
      <c r="F72" s="5">
        <v>10</v>
      </c>
      <c r="G72" t="s">
        <v>2</v>
      </c>
      <c r="P72" t="s">
        <v>12</v>
      </c>
      <c r="R72" s="5">
        <v>10</v>
      </c>
      <c r="S72" t="s">
        <v>2</v>
      </c>
      <c r="AB72" t="s">
        <v>12</v>
      </c>
      <c r="AD72" s="5">
        <v>10</v>
      </c>
      <c r="AE72" t="s">
        <v>2</v>
      </c>
      <c r="AN72" t="s">
        <v>12</v>
      </c>
      <c r="AP72" s="5">
        <v>10</v>
      </c>
      <c r="AQ72" t="s">
        <v>2</v>
      </c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</row>
    <row r="73" spans="4:146" x14ac:dyDescent="0.2">
      <c r="D73" t="s">
        <v>13</v>
      </c>
      <c r="F73" s="5">
        <v>0</v>
      </c>
      <c r="P73" t="s">
        <v>13</v>
      </c>
      <c r="R73" s="5">
        <v>0</v>
      </c>
      <c r="AB73" t="s">
        <v>13</v>
      </c>
      <c r="AD73" s="5">
        <v>0</v>
      </c>
      <c r="AN73" t="s">
        <v>13</v>
      </c>
      <c r="AP73" s="5">
        <v>0</v>
      </c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</row>
    <row r="74" spans="4:146" x14ac:dyDescent="0.2">
      <c r="D74" t="s">
        <v>14</v>
      </c>
      <c r="F74" s="5">
        <v>1.5</v>
      </c>
      <c r="P74" t="s">
        <v>14</v>
      </c>
      <c r="R74" s="5">
        <v>1.5</v>
      </c>
      <c r="AB74" t="s">
        <v>14</v>
      </c>
      <c r="AD74" s="5">
        <v>1.5</v>
      </c>
      <c r="AN74" t="s">
        <v>14</v>
      </c>
      <c r="AP74" s="5">
        <v>1.5</v>
      </c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</row>
    <row r="75" spans="4:146" x14ac:dyDescent="0.2">
      <c r="D75" t="s">
        <v>15</v>
      </c>
      <c r="F75" s="5">
        <v>2400</v>
      </c>
      <c r="G75" t="s">
        <v>1</v>
      </c>
      <c r="P75" t="s">
        <v>15</v>
      </c>
      <c r="R75" s="5">
        <v>2400</v>
      </c>
      <c r="S75" t="s">
        <v>1</v>
      </c>
      <c r="AB75" t="s">
        <v>15</v>
      </c>
      <c r="AD75" s="5">
        <v>2400</v>
      </c>
      <c r="AE75" t="s">
        <v>1</v>
      </c>
      <c r="AN75" t="s">
        <v>15</v>
      </c>
      <c r="AP75" s="5">
        <v>2400</v>
      </c>
      <c r="AQ75" t="s">
        <v>1</v>
      </c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</row>
    <row r="76" spans="4:146" x14ac:dyDescent="0.2">
      <c r="H76" t="s">
        <v>26</v>
      </c>
      <c r="T76" t="s">
        <v>26</v>
      </c>
      <c r="AF76" t="s">
        <v>26</v>
      </c>
      <c r="AR76" t="s">
        <v>26</v>
      </c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</row>
    <row r="77" spans="4:146" x14ac:dyDescent="0.2">
      <c r="D77" t="s">
        <v>21</v>
      </c>
      <c r="F77" s="7">
        <v>97000</v>
      </c>
      <c r="G77" t="s">
        <v>2</v>
      </c>
      <c r="H77" s="6">
        <f>M69/F71</f>
        <v>95430.766970453304</v>
      </c>
      <c r="P77" t="s">
        <v>21</v>
      </c>
      <c r="R77" s="7">
        <v>97000</v>
      </c>
      <c r="S77" t="s">
        <v>2</v>
      </c>
      <c r="T77" s="6">
        <f>Y69/R71</f>
        <v>95532.771362008891</v>
      </c>
      <c r="AB77" t="s">
        <v>21</v>
      </c>
      <c r="AD77" s="7">
        <v>97000</v>
      </c>
      <c r="AE77" t="s">
        <v>2</v>
      </c>
      <c r="AF77" s="6">
        <f>AK69/AD71</f>
        <v>95670.825305029881</v>
      </c>
      <c r="AN77" t="s">
        <v>21</v>
      </c>
      <c r="AP77" s="7">
        <v>97000</v>
      </c>
      <c r="AQ77" t="s">
        <v>2</v>
      </c>
      <c r="AR77" s="6">
        <f>AW69/AP71</f>
        <v>95752.126341334311</v>
      </c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</row>
    <row r="78" spans="4:146" x14ac:dyDescent="0.2">
      <c r="D78" t="s">
        <v>22</v>
      </c>
      <c r="F78" s="9">
        <v>0</v>
      </c>
      <c r="G78" t="s">
        <v>2</v>
      </c>
      <c r="H78" s="6">
        <f>M69*F73</f>
        <v>0</v>
      </c>
      <c r="P78" t="s">
        <v>22</v>
      </c>
      <c r="R78" s="9">
        <v>0</v>
      </c>
      <c r="S78" t="s">
        <v>2</v>
      </c>
      <c r="T78" s="6">
        <f>Y69*R73</f>
        <v>0</v>
      </c>
      <c r="AB78" t="s">
        <v>22</v>
      </c>
      <c r="AD78" s="9">
        <v>0</v>
      </c>
      <c r="AE78" t="s">
        <v>2</v>
      </c>
      <c r="AF78" s="6">
        <f>AK69*AD73</f>
        <v>0</v>
      </c>
      <c r="AN78" t="s">
        <v>22</v>
      </c>
      <c r="AP78" s="9">
        <v>0</v>
      </c>
      <c r="AQ78" t="s">
        <v>2</v>
      </c>
      <c r="AR78" s="6">
        <f>AW69*AP73</f>
        <v>0</v>
      </c>
      <c r="AZ78" s="14"/>
      <c r="BA78" s="14"/>
      <c r="BB78" s="15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5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5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5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5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5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5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5"/>
      <c r="EI78" s="14"/>
      <c r="EJ78" s="14"/>
      <c r="EK78" s="14"/>
      <c r="EL78" s="14"/>
      <c r="EM78" s="14"/>
      <c r="EN78" s="14"/>
      <c r="EO78" s="14"/>
      <c r="EP78" s="14"/>
    </row>
    <row r="79" spans="4:146" x14ac:dyDescent="0.2">
      <c r="D79" t="s">
        <v>23</v>
      </c>
      <c r="F79" s="2">
        <f>M50</f>
        <v>715076.06628198375</v>
      </c>
      <c r="G79" t="s">
        <v>2</v>
      </c>
      <c r="P79" t="s">
        <v>23</v>
      </c>
      <c r="R79" s="2">
        <f>Y50</f>
        <v>715982.72384544089</v>
      </c>
      <c r="S79" t="s">
        <v>2</v>
      </c>
      <c r="AB79" t="s">
        <v>23</v>
      </c>
      <c r="AD79" s="2">
        <f>AK50</f>
        <v>717209.80485338811</v>
      </c>
      <c r="AE79" t="s">
        <v>2</v>
      </c>
      <c r="AN79" t="s">
        <v>23</v>
      </c>
      <c r="AP79" s="2">
        <f>AW50</f>
        <v>717932.44236299128</v>
      </c>
      <c r="AQ79" t="s">
        <v>2</v>
      </c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</row>
    <row r="80" spans="4:146" x14ac:dyDescent="0.2">
      <c r="D80" t="s">
        <v>25</v>
      </c>
      <c r="F80" s="7">
        <v>42800</v>
      </c>
      <c r="G80" t="s">
        <v>2</v>
      </c>
      <c r="H80" s="6">
        <f>M69*F74/G70</f>
        <v>41589.759929690801</v>
      </c>
      <c r="P80" t="s">
        <v>25</v>
      </c>
      <c r="R80" s="7">
        <v>42800</v>
      </c>
      <c r="S80" t="s">
        <v>2</v>
      </c>
      <c r="T80" s="6">
        <f>Y69*R74/S70</f>
        <v>41634.214546280899</v>
      </c>
      <c r="AB80" t="s">
        <v>25</v>
      </c>
      <c r="AD80" s="7">
        <v>42800</v>
      </c>
      <c r="AE80" t="s">
        <v>2</v>
      </c>
      <c r="AF80" s="6">
        <f>AK69*AD74/AE70</f>
        <v>41694.379947124507</v>
      </c>
      <c r="AN80" t="s">
        <v>25</v>
      </c>
      <c r="AP80" s="7">
        <v>42800</v>
      </c>
      <c r="AQ80" t="s">
        <v>2</v>
      </c>
      <c r="AR80" s="6">
        <f>AW69*AP74/AQ70</f>
        <v>41729.811817676105</v>
      </c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</row>
    <row r="81" spans="4:146" x14ac:dyDescent="0.2">
      <c r="D81" t="s">
        <v>48</v>
      </c>
      <c r="F81" s="2">
        <f>M50/20</f>
        <v>35753.80331409919</v>
      </c>
      <c r="G81" t="s">
        <v>2</v>
      </c>
      <c r="P81" t="s">
        <v>48</v>
      </c>
      <c r="R81" s="2">
        <f>Y50/20</f>
        <v>35799.136192272046</v>
      </c>
      <c r="S81" t="s">
        <v>2</v>
      </c>
      <c r="AB81" t="s">
        <v>48</v>
      </c>
      <c r="AD81" s="2">
        <f>AK50/20</f>
        <v>35860.490242669403</v>
      </c>
      <c r="AE81" t="s">
        <v>2</v>
      </c>
      <c r="AN81" t="s">
        <v>48</v>
      </c>
      <c r="AP81" s="2">
        <f>AW50/20</f>
        <v>35896.622118149564</v>
      </c>
      <c r="AQ81" t="s">
        <v>2</v>
      </c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</row>
    <row r="82" spans="4:146" x14ac:dyDescent="0.2"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</row>
    <row r="83" spans="4:146" x14ac:dyDescent="0.2"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</row>
    <row r="84" spans="4:146" x14ac:dyDescent="0.2"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</row>
    <row r="85" spans="4:146" x14ac:dyDescent="0.2">
      <c r="N85" t="s">
        <v>16</v>
      </c>
      <c r="O85" s="8">
        <v>2.71</v>
      </c>
      <c r="Q85" t="s">
        <v>18</v>
      </c>
      <c r="Z85" t="s">
        <v>16</v>
      </c>
      <c r="AA85" s="8">
        <v>2.71</v>
      </c>
      <c r="AC85" t="s">
        <v>18</v>
      </c>
    </row>
    <row r="86" spans="4:146" x14ac:dyDescent="0.2">
      <c r="I86" t="s">
        <v>3</v>
      </c>
      <c r="N86" t="s">
        <v>17</v>
      </c>
      <c r="O86" s="8">
        <v>9.81</v>
      </c>
      <c r="Q86" t="s">
        <v>19</v>
      </c>
      <c r="U86" t="s">
        <v>3</v>
      </c>
      <c r="Z86" t="s">
        <v>17</v>
      </c>
      <c r="AA86" s="8">
        <v>9.81</v>
      </c>
      <c r="AC86" t="s">
        <v>19</v>
      </c>
    </row>
    <row r="87" spans="4:146" x14ac:dyDescent="0.2">
      <c r="I87" t="s">
        <v>4</v>
      </c>
      <c r="Q87" t="s">
        <v>20</v>
      </c>
      <c r="U87" t="s">
        <v>4</v>
      </c>
      <c r="AC87" t="s">
        <v>20</v>
      </c>
    </row>
    <row r="88" spans="4:146" x14ac:dyDescent="0.2">
      <c r="I88" t="s">
        <v>5</v>
      </c>
      <c r="K88" s="5">
        <v>3521.8</v>
      </c>
      <c r="L88" t="s">
        <v>1</v>
      </c>
      <c r="M88">
        <v>359</v>
      </c>
      <c r="N88" t="s">
        <v>6</v>
      </c>
      <c r="U88" t="s">
        <v>5</v>
      </c>
      <c r="W88" s="5">
        <v>3521.8</v>
      </c>
      <c r="X88" t="s">
        <v>1</v>
      </c>
      <c r="Y88">
        <v>359</v>
      </c>
      <c r="Z88" t="s">
        <v>6</v>
      </c>
    </row>
    <row r="89" spans="4:146" x14ac:dyDescent="0.2">
      <c r="I89" t="s">
        <v>7</v>
      </c>
      <c r="K89" s="5">
        <v>294.3</v>
      </c>
      <c r="L89" t="s">
        <v>8</v>
      </c>
      <c r="M89">
        <v>30000</v>
      </c>
      <c r="N89" t="s">
        <v>9</v>
      </c>
      <c r="U89" t="s">
        <v>7</v>
      </c>
      <c r="W89" s="5">
        <v>294.3</v>
      </c>
      <c r="X89" t="s">
        <v>8</v>
      </c>
      <c r="Y89">
        <v>30000</v>
      </c>
      <c r="Z89" t="s">
        <v>9</v>
      </c>
    </row>
    <row r="90" spans="4:146" x14ac:dyDescent="0.2">
      <c r="I90" t="s">
        <v>0</v>
      </c>
      <c r="K90" s="5">
        <v>572</v>
      </c>
      <c r="L90" t="s">
        <v>2</v>
      </c>
      <c r="P90" t="s">
        <v>24</v>
      </c>
      <c r="R90" s="2">
        <f>(K100+K99+K98+K93+K101)*O85^(K96/K88)</f>
        <v>102621.79205378535</v>
      </c>
      <c r="U90" t="s">
        <v>0</v>
      </c>
      <c r="W90" s="5">
        <v>572</v>
      </c>
      <c r="X90" t="s">
        <v>2</v>
      </c>
      <c r="AB90" t="s">
        <v>24</v>
      </c>
      <c r="AD90" s="2">
        <f>(W100+W99+W98+W93+W101)*AA85^(W96/W88)</f>
        <v>101776.39269334004</v>
      </c>
    </row>
    <row r="91" spans="4:146" x14ac:dyDescent="0.2">
      <c r="I91" t="s">
        <v>10</v>
      </c>
      <c r="K91" s="2">
        <f>M89/K90</f>
        <v>52.447552447552447</v>
      </c>
      <c r="M91" t="s">
        <v>28</v>
      </c>
      <c r="N91" s="6">
        <f>M89*K101/K90</f>
        <v>15000</v>
      </c>
      <c r="O91" t="s">
        <v>9</v>
      </c>
      <c r="P91" t="s">
        <v>27</v>
      </c>
      <c r="R91" s="2">
        <f>R90-(K101+K100+K99+K98+K93)</f>
        <v>2155.7920537853497</v>
      </c>
      <c r="U91" t="s">
        <v>10</v>
      </c>
      <c r="W91" s="2">
        <f>Y89/W90</f>
        <v>52.447552447552447</v>
      </c>
      <c r="Y91" t="s">
        <v>28</v>
      </c>
      <c r="Z91" s="6">
        <f>Y89*W101/W90</f>
        <v>10489.510489510489</v>
      </c>
      <c r="AA91" t="s">
        <v>9</v>
      </c>
      <c r="AB91" t="s">
        <v>27</v>
      </c>
      <c r="AD91" s="2">
        <f>AD90-(W101+W100+W99+W98+W93)</f>
        <v>1430.3926933400362</v>
      </c>
    </row>
    <row r="92" spans="4:146" x14ac:dyDescent="0.2">
      <c r="I92" t="s">
        <v>11</v>
      </c>
      <c r="K92" s="5">
        <v>40</v>
      </c>
      <c r="U92" t="s">
        <v>11</v>
      </c>
      <c r="W92" s="5">
        <v>40</v>
      </c>
    </row>
    <row r="93" spans="4:146" x14ac:dyDescent="0.2">
      <c r="I93" t="s">
        <v>12</v>
      </c>
      <c r="K93" s="5">
        <v>10</v>
      </c>
      <c r="L93" t="s">
        <v>2</v>
      </c>
      <c r="U93" t="s">
        <v>12</v>
      </c>
      <c r="W93" s="5">
        <v>1</v>
      </c>
      <c r="X93" t="s">
        <v>2</v>
      </c>
    </row>
    <row r="94" spans="4:146" x14ac:dyDescent="0.2">
      <c r="I94" t="s">
        <v>13</v>
      </c>
      <c r="K94" s="5">
        <v>1E-3</v>
      </c>
      <c r="U94" t="s">
        <v>13</v>
      </c>
      <c r="W94" s="5">
        <v>1E-3</v>
      </c>
    </row>
    <row r="95" spans="4:146" x14ac:dyDescent="0.2">
      <c r="I95" t="s">
        <v>14</v>
      </c>
      <c r="K95" s="5">
        <v>0.1</v>
      </c>
      <c r="U95" t="s">
        <v>14</v>
      </c>
      <c r="W95" s="5">
        <v>0.1</v>
      </c>
    </row>
    <row r="96" spans="4:146" x14ac:dyDescent="0.2">
      <c r="I96" t="s">
        <v>15</v>
      </c>
      <c r="K96" s="5">
        <v>75</v>
      </c>
      <c r="L96" t="s">
        <v>1</v>
      </c>
      <c r="U96" t="s">
        <v>15</v>
      </c>
      <c r="W96" s="5">
        <v>50</v>
      </c>
      <c r="X96" t="s">
        <v>1</v>
      </c>
    </row>
    <row r="97" spans="9:31" x14ac:dyDescent="0.2">
      <c r="M97" t="s">
        <v>26</v>
      </c>
      <c r="Y97" t="s">
        <v>26</v>
      </c>
    </row>
    <row r="98" spans="9:31" x14ac:dyDescent="0.2">
      <c r="I98" t="s">
        <v>21</v>
      </c>
      <c r="K98" s="7">
        <v>60</v>
      </c>
      <c r="L98" t="s">
        <v>2</v>
      </c>
      <c r="M98" s="6">
        <f>R91/K92</f>
        <v>53.894801344633741</v>
      </c>
      <c r="U98" t="s">
        <v>21</v>
      </c>
      <c r="W98" s="7">
        <v>40</v>
      </c>
      <c r="X98" t="s">
        <v>2</v>
      </c>
      <c r="Y98" s="6">
        <f>AD91/W92</f>
        <v>35.759817333500905</v>
      </c>
    </row>
    <row r="99" spans="9:31" x14ac:dyDescent="0.2">
      <c r="I99" t="s">
        <v>22</v>
      </c>
      <c r="K99" s="9">
        <v>110</v>
      </c>
      <c r="L99" t="s">
        <v>2</v>
      </c>
      <c r="M99" s="6">
        <f>R90*K94</f>
        <v>102.62179205378536</v>
      </c>
      <c r="U99" t="s">
        <v>22</v>
      </c>
      <c r="W99" s="9">
        <v>105</v>
      </c>
      <c r="X99" t="s">
        <v>2</v>
      </c>
      <c r="Y99" s="6">
        <f>AD90*W94</f>
        <v>101.77639269334004</v>
      </c>
    </row>
    <row r="100" spans="9:31" x14ac:dyDescent="0.2">
      <c r="I100" t="s">
        <v>23</v>
      </c>
      <c r="K100" s="4">
        <v>100000</v>
      </c>
      <c r="L100" t="s">
        <v>2</v>
      </c>
      <c r="U100" t="s">
        <v>23</v>
      </c>
      <c r="W100" s="4">
        <v>100000</v>
      </c>
      <c r="X100" t="s">
        <v>2</v>
      </c>
    </row>
    <row r="101" spans="9:31" x14ac:dyDescent="0.2">
      <c r="I101" t="s">
        <v>25</v>
      </c>
      <c r="K101" s="7">
        <v>286</v>
      </c>
      <c r="L101" t="s">
        <v>2</v>
      </c>
      <c r="M101" s="6">
        <f>R90*K95/K91</f>
        <v>195.66555018255076</v>
      </c>
      <c r="U101" t="s">
        <v>25</v>
      </c>
      <c r="W101" s="7">
        <v>200</v>
      </c>
      <c r="X101" t="s">
        <v>2</v>
      </c>
      <c r="Y101" s="6">
        <f>AD90*W95/W91</f>
        <v>194.05365540196834</v>
      </c>
    </row>
    <row r="104" spans="9:31" x14ac:dyDescent="0.2">
      <c r="I104" t="s">
        <v>35</v>
      </c>
      <c r="U104" t="s">
        <v>35</v>
      </c>
    </row>
    <row r="105" spans="9:31" x14ac:dyDescent="0.2">
      <c r="I105" t="s">
        <v>29</v>
      </c>
      <c r="U105" t="s">
        <v>29</v>
      </c>
    </row>
    <row r="106" spans="9:31" x14ac:dyDescent="0.2">
      <c r="I106" t="s">
        <v>31</v>
      </c>
      <c r="L106" s="5">
        <v>4071</v>
      </c>
      <c r="M106" t="s">
        <v>1</v>
      </c>
      <c r="U106" t="s">
        <v>31</v>
      </c>
      <c r="X106" s="5">
        <v>4071</v>
      </c>
      <c r="Y106" t="s">
        <v>1</v>
      </c>
    </row>
    <row r="107" spans="9:31" x14ac:dyDescent="0.2">
      <c r="I107" t="s">
        <v>32</v>
      </c>
      <c r="L107" s="5">
        <v>4532</v>
      </c>
      <c r="M107" t="s">
        <v>1</v>
      </c>
      <c r="U107" t="s">
        <v>32</v>
      </c>
      <c r="X107" s="5">
        <v>4532</v>
      </c>
      <c r="Y107" t="s">
        <v>1</v>
      </c>
    </row>
    <row r="108" spans="9:31" x14ac:dyDescent="0.2">
      <c r="I108" t="s">
        <v>30</v>
      </c>
      <c r="L108" s="5">
        <v>4001.2</v>
      </c>
      <c r="M108" t="s">
        <v>8</v>
      </c>
      <c r="N108">
        <f>L108*1000/O86</f>
        <v>407869.52089704381</v>
      </c>
      <c r="O108" t="s">
        <v>9</v>
      </c>
      <c r="U108" t="s">
        <v>30</v>
      </c>
      <c r="X108" s="5">
        <v>4001.2</v>
      </c>
      <c r="Y108" t="s">
        <v>8</v>
      </c>
      <c r="Z108">
        <f>X108*1000/AA86</f>
        <v>407869.52089704381</v>
      </c>
      <c r="AA108" t="s">
        <v>9</v>
      </c>
    </row>
    <row r="109" spans="9:31" x14ac:dyDescent="0.2">
      <c r="I109" t="s">
        <v>33</v>
      </c>
      <c r="L109" s="5">
        <v>1569</v>
      </c>
      <c r="M109" t="s">
        <v>8</v>
      </c>
      <c r="N109">
        <f>L109*1000/O86</f>
        <v>159938.83792048928</v>
      </c>
      <c r="O109" t="s">
        <v>9</v>
      </c>
      <c r="U109" t="s">
        <v>33</v>
      </c>
      <c r="X109" s="5">
        <v>1569</v>
      </c>
      <c r="Y109" t="s">
        <v>8</v>
      </c>
      <c r="Z109">
        <f>X109*1000/AA86</f>
        <v>159938.83792048928</v>
      </c>
      <c r="AA109" t="s">
        <v>9</v>
      </c>
    </row>
    <row r="110" spans="9:31" x14ac:dyDescent="0.2">
      <c r="I110" t="s">
        <v>0</v>
      </c>
      <c r="L110" s="5">
        <v>1923</v>
      </c>
      <c r="M110" t="s">
        <v>2</v>
      </c>
      <c r="P110" t="s">
        <v>24</v>
      </c>
      <c r="R110" s="2">
        <f>(K120+K119+K118+K113+M122+K121)*O85^(K116/L107)</f>
        <v>309932.08820917452</v>
      </c>
      <c r="S110" t="s">
        <v>2</v>
      </c>
      <c r="U110" t="s">
        <v>0</v>
      </c>
      <c r="X110" s="5">
        <v>1923</v>
      </c>
      <c r="Y110" t="s">
        <v>2</v>
      </c>
      <c r="AB110" t="s">
        <v>24</v>
      </c>
      <c r="AD110" s="2">
        <f>(W120+W119+W118+W113+W122+W121)*AA85^(W116/X107)</f>
        <v>306067.53453472402</v>
      </c>
      <c r="AE110" t="s">
        <v>2</v>
      </c>
    </row>
    <row r="111" spans="9:31" x14ac:dyDescent="0.2">
      <c r="I111" t="s">
        <v>34</v>
      </c>
      <c r="K111" s="2">
        <f>N109/L110</f>
        <v>83.171522579557603</v>
      </c>
      <c r="M111" t="s">
        <v>28</v>
      </c>
      <c r="N111" s="6">
        <f>N109*K121/L110</f>
        <v>159938.83792048928</v>
      </c>
      <c r="O111" t="s">
        <v>9</v>
      </c>
      <c r="R111" s="2"/>
      <c r="U111" t="s">
        <v>34</v>
      </c>
      <c r="W111" s="2">
        <f>Z109/X110</f>
        <v>83.171522579557603</v>
      </c>
      <c r="Y111" t="s">
        <v>28</v>
      </c>
      <c r="Z111" s="6">
        <f>Z109*W121/X110</f>
        <v>153867.31677218157</v>
      </c>
      <c r="AA111" t="s">
        <v>9</v>
      </c>
      <c r="AD111" s="2"/>
    </row>
    <row r="112" spans="9:31" x14ac:dyDescent="0.2">
      <c r="I112" t="s">
        <v>11</v>
      </c>
      <c r="K112" s="5">
        <v>40</v>
      </c>
      <c r="P112" t="s">
        <v>27</v>
      </c>
      <c r="R112" s="2">
        <f>R110-(K121+K120+K119+M122+K118+K113)</f>
        <v>177419.04615538917</v>
      </c>
      <c r="S112" t="s">
        <v>2</v>
      </c>
      <c r="U112" t="s">
        <v>11</v>
      </c>
      <c r="W112" s="5">
        <v>40</v>
      </c>
      <c r="AB112" t="s">
        <v>27</v>
      </c>
      <c r="AD112" s="2">
        <f>AD110-(W121+W120+W119+W122+W118+W113)</f>
        <v>175566.141841384</v>
      </c>
      <c r="AE112" t="s">
        <v>2</v>
      </c>
    </row>
    <row r="113" spans="9:31" x14ac:dyDescent="0.2">
      <c r="I113" t="s">
        <v>12</v>
      </c>
      <c r="K113" s="5">
        <v>40</v>
      </c>
      <c r="L113" t="s">
        <v>2</v>
      </c>
      <c r="P113" t="s">
        <v>44</v>
      </c>
      <c r="R113" s="2">
        <f>M122+K121+K119+K118+K113</f>
        <v>29891.25</v>
      </c>
      <c r="S113" t="s">
        <v>2</v>
      </c>
      <c r="U113" t="s">
        <v>12</v>
      </c>
      <c r="W113" s="5">
        <v>20</v>
      </c>
      <c r="X113" t="s">
        <v>2</v>
      </c>
      <c r="AB113" t="s">
        <v>44</v>
      </c>
      <c r="AD113" s="2">
        <f>W122+W121+W119+W118+W113</f>
        <v>28725</v>
      </c>
      <c r="AE113" t="s">
        <v>2</v>
      </c>
    </row>
    <row r="114" spans="9:31" x14ac:dyDescent="0.2">
      <c r="I114" t="s">
        <v>13</v>
      </c>
      <c r="K114" s="5">
        <v>1E-3</v>
      </c>
      <c r="U114" t="s">
        <v>13</v>
      </c>
      <c r="W114" s="5">
        <v>1E-3</v>
      </c>
    </row>
    <row r="115" spans="9:31" x14ac:dyDescent="0.2">
      <c r="I115" t="s">
        <v>14</v>
      </c>
      <c r="K115" s="5">
        <v>0.5</v>
      </c>
      <c r="U115" t="s">
        <v>14</v>
      </c>
      <c r="W115" s="5">
        <v>0.5</v>
      </c>
    </row>
    <row r="116" spans="9:31" x14ac:dyDescent="0.2">
      <c r="I116" t="s">
        <v>15</v>
      </c>
      <c r="K116" s="5">
        <f>(7800-K96)/2</f>
        <v>3862.5</v>
      </c>
      <c r="L116" t="s">
        <v>1</v>
      </c>
      <c r="U116" t="s">
        <v>15</v>
      </c>
      <c r="W116" s="5">
        <f>(7800-W96)/2</f>
        <v>3875</v>
      </c>
      <c r="X116" t="s">
        <v>1</v>
      </c>
    </row>
    <row r="117" spans="9:31" x14ac:dyDescent="0.2">
      <c r="M117" t="s">
        <v>26</v>
      </c>
      <c r="O117" t="s">
        <v>37</v>
      </c>
      <c r="Y117" t="s">
        <v>26</v>
      </c>
      <c r="AA117" t="s">
        <v>37</v>
      </c>
    </row>
    <row r="118" spans="9:31" x14ac:dyDescent="0.2">
      <c r="I118" t="s">
        <v>21</v>
      </c>
      <c r="K118" s="7">
        <v>27000</v>
      </c>
      <c r="L118" t="s">
        <v>2</v>
      </c>
      <c r="M118" s="6">
        <f>R110/K112</f>
        <v>7748.3022052293627</v>
      </c>
      <c r="O118" s="6">
        <f>K118-M118</f>
        <v>19251.697794770636</v>
      </c>
      <c r="P118" t="s">
        <v>2</v>
      </c>
      <c r="U118" t="s">
        <v>21</v>
      </c>
      <c r="W118" s="7">
        <v>26000</v>
      </c>
      <c r="X118" t="s">
        <v>2</v>
      </c>
      <c r="Y118" s="6">
        <f>AD110/W112</f>
        <v>7651.6883633681009</v>
      </c>
      <c r="AA118" s="6">
        <f>W118-Y118</f>
        <v>18348.311636631901</v>
      </c>
      <c r="AB118" t="s">
        <v>2</v>
      </c>
    </row>
    <row r="119" spans="9:31" x14ac:dyDescent="0.2">
      <c r="I119" t="s">
        <v>22</v>
      </c>
      <c r="K119" s="9">
        <v>350</v>
      </c>
      <c r="L119" t="s">
        <v>2</v>
      </c>
      <c r="M119" s="6">
        <f>R110*K114</f>
        <v>309.93208820917454</v>
      </c>
      <c r="U119" t="s">
        <v>22</v>
      </c>
      <c r="W119" s="9">
        <v>310</v>
      </c>
      <c r="X119" t="s">
        <v>2</v>
      </c>
      <c r="Y119" s="6">
        <f>AD110*W114</f>
        <v>306.06753453472402</v>
      </c>
    </row>
    <row r="120" spans="9:31" x14ac:dyDescent="0.2">
      <c r="I120" t="s">
        <v>23</v>
      </c>
      <c r="K120" s="2">
        <f>R90</f>
        <v>102621.79205378535</v>
      </c>
      <c r="L120" t="s">
        <v>2</v>
      </c>
      <c r="U120" t="s">
        <v>23</v>
      </c>
      <c r="W120" s="2">
        <f>AD90</f>
        <v>101776.39269334004</v>
      </c>
      <c r="X120" t="s">
        <v>2</v>
      </c>
    </row>
    <row r="121" spans="9:31" x14ac:dyDescent="0.2">
      <c r="I121" t="s">
        <v>25</v>
      </c>
      <c r="K121" s="7">
        <v>1923</v>
      </c>
      <c r="L121" t="s">
        <v>2</v>
      </c>
      <c r="M121" s="6">
        <f>R110*K115/K111</f>
        <v>1863.210378965405</v>
      </c>
      <c r="U121" t="s">
        <v>25</v>
      </c>
      <c r="W121" s="7">
        <v>1850</v>
      </c>
      <c r="X121" t="s">
        <v>2</v>
      </c>
      <c r="Y121" s="6">
        <f>AD110*W115/W111</f>
        <v>1839.9779458284868</v>
      </c>
    </row>
    <row r="122" spans="9:31" x14ac:dyDescent="0.2">
      <c r="I122" t="s">
        <v>45</v>
      </c>
      <c r="K122" s="7">
        <v>750</v>
      </c>
      <c r="L122" t="s">
        <v>2</v>
      </c>
      <c r="M122" s="6">
        <f>(K121+K119+K113)/4</f>
        <v>578.25</v>
      </c>
      <c r="P122" t="s">
        <v>46</v>
      </c>
      <c r="R122" s="2">
        <f>M122+K121+K119</f>
        <v>2851.25</v>
      </c>
      <c r="S122" t="s">
        <v>2</v>
      </c>
      <c r="U122" t="s">
        <v>45</v>
      </c>
      <c r="W122" s="7">
        <f>(W121+W119+W113)/4</f>
        <v>545</v>
      </c>
      <c r="X122" t="s">
        <v>2</v>
      </c>
      <c r="AB122" t="s">
        <v>46</v>
      </c>
      <c r="AD122" s="2">
        <f>W122+W121+W119</f>
        <v>2705</v>
      </c>
      <c r="AE122" t="s">
        <v>2</v>
      </c>
    </row>
    <row r="123" spans="9:31" x14ac:dyDescent="0.2">
      <c r="P123" t="s">
        <v>47</v>
      </c>
      <c r="R123" s="2">
        <f>R133+R112</f>
        <v>592380.88395472686</v>
      </c>
      <c r="S123" t="s">
        <v>2</v>
      </c>
      <c r="AB123" t="s">
        <v>47</v>
      </c>
      <c r="AD123" s="2">
        <f>AD133+AD112</f>
        <v>587324.93668762757</v>
      </c>
      <c r="AE123" t="s">
        <v>2</v>
      </c>
    </row>
    <row r="125" spans="9:31" x14ac:dyDescent="0.2">
      <c r="I125" t="s">
        <v>36</v>
      </c>
      <c r="U125" t="s">
        <v>36</v>
      </c>
    </row>
    <row r="126" spans="9:31" x14ac:dyDescent="0.2">
      <c r="I126" t="s">
        <v>29</v>
      </c>
      <c r="U126" t="s">
        <v>29</v>
      </c>
    </row>
    <row r="127" spans="9:31" x14ac:dyDescent="0.2">
      <c r="I127" t="s">
        <v>31</v>
      </c>
      <c r="L127" s="5">
        <v>4071</v>
      </c>
      <c r="M127" t="s">
        <v>1</v>
      </c>
      <c r="U127" t="s">
        <v>31</v>
      </c>
      <c r="X127" s="5">
        <v>4071</v>
      </c>
      <c r="Y127" t="s">
        <v>1</v>
      </c>
    </row>
    <row r="128" spans="9:31" x14ac:dyDescent="0.2">
      <c r="I128" t="s">
        <v>32</v>
      </c>
      <c r="L128" s="5">
        <v>4532</v>
      </c>
      <c r="M128" t="s">
        <v>1</v>
      </c>
      <c r="U128" t="s">
        <v>32</v>
      </c>
      <c r="X128" s="5">
        <v>4532</v>
      </c>
      <c r="Y128" t="s">
        <v>1</v>
      </c>
    </row>
    <row r="129" spans="9:31" x14ac:dyDescent="0.2">
      <c r="I129" t="s">
        <v>30</v>
      </c>
      <c r="L129" s="5">
        <v>4001.2</v>
      </c>
      <c r="M129" t="s">
        <v>8</v>
      </c>
      <c r="N129">
        <f>L129*1000/O86</f>
        <v>407869.52089704381</v>
      </c>
      <c r="O129" t="s">
        <v>9</v>
      </c>
      <c r="U129" t="s">
        <v>30</v>
      </c>
      <c r="X129" s="5">
        <v>4001.2</v>
      </c>
      <c r="Y129" t="s">
        <v>8</v>
      </c>
      <c r="Z129">
        <f>X129*1000/AA86</f>
        <v>407869.52089704381</v>
      </c>
      <c r="AA129" t="s">
        <v>9</v>
      </c>
    </row>
    <row r="130" spans="9:31" x14ac:dyDescent="0.2">
      <c r="I130" t="s">
        <v>33</v>
      </c>
      <c r="L130" s="5">
        <v>1569</v>
      </c>
      <c r="M130" t="s">
        <v>8</v>
      </c>
      <c r="N130">
        <f>L130*1000/O86</f>
        <v>159938.83792048928</v>
      </c>
      <c r="O130" t="s">
        <v>9</v>
      </c>
      <c r="U130" t="s">
        <v>33</v>
      </c>
      <c r="X130" s="5">
        <v>1569</v>
      </c>
      <c r="Y130" t="s">
        <v>8</v>
      </c>
      <c r="Z130">
        <f>X130*1000/AA86</f>
        <v>159938.83792048928</v>
      </c>
      <c r="AA130" t="s">
        <v>9</v>
      </c>
    </row>
    <row r="131" spans="9:31" x14ac:dyDescent="0.2">
      <c r="I131" t="s">
        <v>0</v>
      </c>
      <c r="L131" s="5">
        <v>1923</v>
      </c>
      <c r="M131" t="s">
        <v>2</v>
      </c>
      <c r="P131" t="s">
        <v>24</v>
      </c>
      <c r="R131" s="2">
        <f>(K141+K140+K139+K134+K142)*O85^(K137/L128)</f>
        <v>724893.92600851215</v>
      </c>
      <c r="S131" t="s">
        <v>2</v>
      </c>
      <c r="U131" t="s">
        <v>0</v>
      </c>
      <c r="X131" s="5">
        <v>1923</v>
      </c>
      <c r="Y131" t="s">
        <v>2</v>
      </c>
      <c r="AB131" t="s">
        <v>24</v>
      </c>
      <c r="AD131" s="2">
        <f>(W141+W140+W139+W134+W142)*AA85^(W137/X128)</f>
        <v>717826.32938096754</v>
      </c>
      <c r="AE131" t="s">
        <v>2</v>
      </c>
    </row>
    <row r="132" spans="9:31" x14ac:dyDescent="0.2">
      <c r="I132" t="s">
        <v>34</v>
      </c>
      <c r="K132" s="2">
        <f>N129/L131</f>
        <v>212.10063489185845</v>
      </c>
      <c r="M132" t="s">
        <v>28</v>
      </c>
      <c r="N132" s="6">
        <f>N129*K121/L131</f>
        <v>407869.52089704381</v>
      </c>
      <c r="O132" t="s">
        <v>9</v>
      </c>
      <c r="U132" t="s">
        <v>34</v>
      </c>
      <c r="W132" s="2">
        <f>Z129/X131</f>
        <v>212.10063489185845</v>
      </c>
      <c r="Y132" t="s">
        <v>28</v>
      </c>
      <c r="Z132" s="6">
        <f>Z129*W121/X131</f>
        <v>392386.17454993812</v>
      </c>
      <c r="AA132" t="s">
        <v>9</v>
      </c>
    </row>
    <row r="133" spans="9:31" x14ac:dyDescent="0.2">
      <c r="I133" t="s">
        <v>11</v>
      </c>
      <c r="K133" s="5">
        <v>40</v>
      </c>
      <c r="P133" t="s">
        <v>27</v>
      </c>
      <c r="R133" s="2">
        <f>R131-(K142+K141+K140+K139+K134)</f>
        <v>414961.83779933763</v>
      </c>
      <c r="S133" t="s">
        <v>2</v>
      </c>
      <c r="U133" t="s">
        <v>11</v>
      </c>
      <c r="W133" s="5">
        <v>40</v>
      </c>
      <c r="AB133" t="s">
        <v>27</v>
      </c>
      <c r="AD133" s="2">
        <f>AD131-(W142+W141+W140+W139+W134)</f>
        <v>411758.79484624352</v>
      </c>
      <c r="AE133" t="s">
        <v>2</v>
      </c>
    </row>
    <row r="134" spans="9:31" x14ac:dyDescent="0.2">
      <c r="I134" t="s">
        <v>12</v>
      </c>
      <c r="K134" s="5">
        <v>0</v>
      </c>
      <c r="L134" t="s">
        <v>2</v>
      </c>
      <c r="U134" t="s">
        <v>12</v>
      </c>
      <c r="W134" s="5">
        <v>0</v>
      </c>
      <c r="X134" t="s">
        <v>2</v>
      </c>
    </row>
    <row r="135" spans="9:31" x14ac:dyDescent="0.2">
      <c r="I135" t="s">
        <v>13</v>
      </c>
      <c r="K135" s="5">
        <v>0</v>
      </c>
      <c r="U135" t="s">
        <v>13</v>
      </c>
      <c r="W135" s="5">
        <v>0</v>
      </c>
    </row>
    <row r="136" spans="9:31" x14ac:dyDescent="0.2">
      <c r="I136" t="s">
        <v>14</v>
      </c>
      <c r="K136" s="5">
        <v>0.5</v>
      </c>
      <c r="U136" t="s">
        <v>14</v>
      </c>
      <c r="W136" s="5">
        <v>0.5</v>
      </c>
    </row>
    <row r="137" spans="9:31" x14ac:dyDescent="0.2">
      <c r="I137" t="s">
        <v>15</v>
      </c>
      <c r="K137" s="5">
        <f>7800-K116-K96</f>
        <v>3862.5</v>
      </c>
      <c r="L137" t="s">
        <v>1</v>
      </c>
      <c r="U137" t="s">
        <v>15</v>
      </c>
      <c r="W137" s="5">
        <f>7800-W116-W96</f>
        <v>3875</v>
      </c>
      <c r="X137" t="s">
        <v>1</v>
      </c>
    </row>
    <row r="138" spans="9:31" x14ac:dyDescent="0.2">
      <c r="M138" t="s">
        <v>26</v>
      </c>
      <c r="Y138" t="s">
        <v>26</v>
      </c>
    </row>
    <row r="139" spans="9:31" x14ac:dyDescent="0.2">
      <c r="I139" t="s">
        <v>21</v>
      </c>
      <c r="K139" s="7">
        <v>0</v>
      </c>
      <c r="L139" t="s">
        <v>2</v>
      </c>
      <c r="M139" s="6">
        <f>R131/K133</f>
        <v>18122.348150212805</v>
      </c>
      <c r="N139" t="s">
        <v>38</v>
      </c>
      <c r="U139" t="s">
        <v>21</v>
      </c>
      <c r="W139" s="7">
        <v>0</v>
      </c>
      <c r="X139" t="s">
        <v>2</v>
      </c>
      <c r="Y139" s="6">
        <f>AD131/W133</f>
        <v>17945.658234524188</v>
      </c>
      <c r="Z139" t="s">
        <v>38</v>
      </c>
    </row>
    <row r="140" spans="9:31" x14ac:dyDescent="0.2">
      <c r="I140" t="s">
        <v>22</v>
      </c>
      <c r="K140" s="9">
        <v>0</v>
      </c>
      <c r="L140" t="s">
        <v>2</v>
      </c>
      <c r="M140" s="6">
        <f>R131*K135</f>
        <v>0</v>
      </c>
      <c r="N140" t="s">
        <v>38</v>
      </c>
      <c r="U140" t="s">
        <v>22</v>
      </c>
      <c r="W140" s="9">
        <v>0</v>
      </c>
      <c r="X140" t="s">
        <v>2</v>
      </c>
      <c r="Y140" s="6">
        <f>AD131*W135</f>
        <v>0</v>
      </c>
      <c r="Z140" t="s">
        <v>38</v>
      </c>
    </row>
    <row r="141" spans="9:31" x14ac:dyDescent="0.2">
      <c r="I141" t="s">
        <v>23</v>
      </c>
      <c r="K141" s="2">
        <f>R110</f>
        <v>309932.08820917452</v>
      </c>
      <c r="L141" t="s">
        <v>2</v>
      </c>
      <c r="U141" t="s">
        <v>23</v>
      </c>
      <c r="W141" s="2">
        <f>AD110</f>
        <v>306067.53453472402</v>
      </c>
      <c r="X141" t="s">
        <v>2</v>
      </c>
    </row>
    <row r="142" spans="9:31" x14ac:dyDescent="0.2">
      <c r="I142" t="s">
        <v>25</v>
      </c>
      <c r="K142" s="7">
        <v>0</v>
      </c>
      <c r="L142" t="s">
        <v>2</v>
      </c>
      <c r="M142" s="6">
        <f>R131*K136/K132</f>
        <v>1708.8443096318554</v>
      </c>
      <c r="N142" t="s">
        <v>38</v>
      </c>
      <c r="U142" t="s">
        <v>25</v>
      </c>
      <c r="W142" s="7">
        <v>0</v>
      </c>
      <c r="X142" t="s">
        <v>2</v>
      </c>
      <c r="Y142" s="6">
        <f>AD131*W136/W132</f>
        <v>1692.1833584962114</v>
      </c>
      <c r="Z142" t="s">
        <v>38</v>
      </c>
    </row>
    <row r="146" spans="9:31" x14ac:dyDescent="0.2">
      <c r="I146" t="s">
        <v>39</v>
      </c>
      <c r="U146" t="s">
        <v>39</v>
      </c>
    </row>
    <row r="147" spans="9:31" x14ac:dyDescent="0.2">
      <c r="I147" t="s">
        <v>40</v>
      </c>
      <c r="U147" t="s">
        <v>40</v>
      </c>
    </row>
    <row r="148" spans="9:31" x14ac:dyDescent="0.2">
      <c r="I148" t="s">
        <v>41</v>
      </c>
      <c r="L148" s="5">
        <f>320*O86</f>
        <v>3139.2000000000003</v>
      </c>
      <c r="M148" t="s">
        <v>1</v>
      </c>
      <c r="U148" t="s">
        <v>41</v>
      </c>
      <c r="X148" s="5">
        <f>320*AA86</f>
        <v>3139.2000000000003</v>
      </c>
      <c r="Y148" t="s">
        <v>1</v>
      </c>
    </row>
    <row r="149" spans="9:31" x14ac:dyDescent="0.2">
      <c r="I149" t="s">
        <v>42</v>
      </c>
      <c r="L149" s="5">
        <f>740*O86</f>
        <v>7259.4000000000005</v>
      </c>
      <c r="M149" t="s">
        <v>8</v>
      </c>
      <c r="N149">
        <v>740000</v>
      </c>
      <c r="O149" t="s">
        <v>9</v>
      </c>
      <c r="U149" t="s">
        <v>42</v>
      </c>
      <c r="X149" s="5">
        <f>740*AA86</f>
        <v>7259.4000000000005</v>
      </c>
      <c r="Y149" t="s">
        <v>8</v>
      </c>
      <c r="Z149">
        <v>740000</v>
      </c>
      <c r="AA149" t="s">
        <v>9</v>
      </c>
    </row>
    <row r="150" spans="9:31" x14ac:dyDescent="0.2">
      <c r="I150" t="s">
        <v>0</v>
      </c>
      <c r="L150" s="5">
        <v>10750</v>
      </c>
      <c r="M150" t="s">
        <v>2</v>
      </c>
      <c r="P150" t="s">
        <v>24</v>
      </c>
      <c r="R150" s="2">
        <f>(K160+K159+K158+K153+K161+K162)*O85^(K156/L148)</f>
        <v>1937564.2036180436</v>
      </c>
      <c r="S150" t="s">
        <v>2</v>
      </c>
      <c r="U150" t="s">
        <v>0</v>
      </c>
      <c r="X150" s="5">
        <v>10750</v>
      </c>
      <c r="Y150" t="s">
        <v>2</v>
      </c>
      <c r="AB150" t="s">
        <v>24</v>
      </c>
      <c r="AD150" s="2">
        <f>(W160+W159+W158+W153+W161+W162)*AA85^(W156/X148)</f>
        <v>1914803.7599404054</v>
      </c>
      <c r="AE150" t="s">
        <v>2</v>
      </c>
    </row>
    <row r="151" spans="9:31" x14ac:dyDescent="0.2">
      <c r="I151" t="s">
        <v>34</v>
      </c>
      <c r="L151" s="2">
        <f>N149/L150</f>
        <v>68.837209302325576</v>
      </c>
      <c r="P151" t="s">
        <v>27</v>
      </c>
      <c r="R151" s="2">
        <f>R150-(K161+K160+K159+K158+K153+K162)</f>
        <v>1033415.5813091059</v>
      </c>
      <c r="S151" t="s">
        <v>2</v>
      </c>
      <c r="U151" t="s">
        <v>34</v>
      </c>
      <c r="X151" s="2">
        <f>Z149/X150</f>
        <v>68.837209302325576</v>
      </c>
      <c r="AB151" t="s">
        <v>27</v>
      </c>
      <c r="AD151" s="2">
        <f>AD150-(W161+W160+W159+W158+W153+W162)</f>
        <v>1021276.1140903895</v>
      </c>
      <c r="AE151" t="s">
        <v>2</v>
      </c>
    </row>
    <row r="152" spans="9:31" x14ac:dyDescent="0.2">
      <c r="I152" t="s">
        <v>11</v>
      </c>
      <c r="K152" s="5">
        <v>20</v>
      </c>
      <c r="M152" t="s">
        <v>28</v>
      </c>
      <c r="N152" s="6">
        <f>N149*K161/L150</f>
        <v>2960000</v>
      </c>
      <c r="O152" t="s">
        <v>9</v>
      </c>
      <c r="P152" t="s">
        <v>43</v>
      </c>
      <c r="R152" s="2">
        <f>K158+K159+K161+K153+K162</f>
        <v>179254.69630042562</v>
      </c>
      <c r="S152" t="s">
        <v>2</v>
      </c>
      <c r="U152" t="s">
        <v>11</v>
      </c>
      <c r="W152" s="5">
        <v>20</v>
      </c>
      <c r="Y152" t="s">
        <v>28</v>
      </c>
      <c r="Z152" s="6">
        <f>Z149*W161/X150</f>
        <v>2946232.5581395347</v>
      </c>
      <c r="AA152" t="s">
        <v>9</v>
      </c>
      <c r="AB152" t="s">
        <v>43</v>
      </c>
      <c r="AD152" s="2">
        <f>W158+W159+W161+W153+W162</f>
        <v>175701.31646904838</v>
      </c>
      <c r="AE152" t="s">
        <v>2</v>
      </c>
    </row>
    <row r="153" spans="9:31" x14ac:dyDescent="0.2">
      <c r="I153" t="s">
        <v>12</v>
      </c>
      <c r="K153" s="5">
        <v>10</v>
      </c>
      <c r="L153" t="s">
        <v>2</v>
      </c>
      <c r="U153" t="s">
        <v>12</v>
      </c>
      <c r="W153" s="5">
        <v>10</v>
      </c>
      <c r="X153" t="s">
        <v>2</v>
      </c>
    </row>
    <row r="154" spans="9:31" x14ac:dyDescent="0.2">
      <c r="I154" t="s">
        <v>13</v>
      </c>
      <c r="K154" s="5">
        <v>0</v>
      </c>
      <c r="U154" t="s">
        <v>13</v>
      </c>
      <c r="W154" s="5">
        <v>0</v>
      </c>
    </row>
    <row r="155" spans="9:31" x14ac:dyDescent="0.2">
      <c r="I155" t="s">
        <v>14</v>
      </c>
      <c r="K155" s="5">
        <v>1.4</v>
      </c>
      <c r="U155" t="s">
        <v>14</v>
      </c>
      <c r="W155" s="5">
        <v>1.5</v>
      </c>
    </row>
    <row r="156" spans="9:31" x14ac:dyDescent="0.2">
      <c r="I156" t="s">
        <v>15</v>
      </c>
      <c r="K156" s="5">
        <v>2400</v>
      </c>
      <c r="L156" t="s">
        <v>1</v>
      </c>
      <c r="U156" t="s">
        <v>15</v>
      </c>
      <c r="W156" s="5">
        <v>2400</v>
      </c>
      <c r="X156" t="s">
        <v>1</v>
      </c>
    </row>
    <row r="157" spans="9:31" x14ac:dyDescent="0.2">
      <c r="M157" t="s">
        <v>26</v>
      </c>
      <c r="Y157" t="s">
        <v>26</v>
      </c>
    </row>
    <row r="158" spans="9:31" x14ac:dyDescent="0.2">
      <c r="I158" t="s">
        <v>21</v>
      </c>
      <c r="K158" s="7">
        <v>100000</v>
      </c>
      <c r="L158" t="s">
        <v>2</v>
      </c>
      <c r="M158" s="6">
        <f>R150/K152</f>
        <v>96878.210180902184</v>
      </c>
      <c r="U158" t="s">
        <v>21</v>
      </c>
      <c r="W158" s="7">
        <v>97000</v>
      </c>
      <c r="X158" t="s">
        <v>2</v>
      </c>
      <c r="Y158" s="6">
        <f>AD150/W152</f>
        <v>95740.187997020272</v>
      </c>
    </row>
    <row r="159" spans="9:31" x14ac:dyDescent="0.2">
      <c r="I159" t="s">
        <v>22</v>
      </c>
      <c r="K159" s="9">
        <v>0</v>
      </c>
      <c r="L159" t="s">
        <v>2</v>
      </c>
      <c r="M159" s="6">
        <f>R150*K154</f>
        <v>0</v>
      </c>
      <c r="U159" t="s">
        <v>22</v>
      </c>
      <c r="W159" s="9">
        <v>0</v>
      </c>
      <c r="X159" t="s">
        <v>2</v>
      </c>
      <c r="Y159" s="6">
        <f>AD150*W154</f>
        <v>0</v>
      </c>
    </row>
    <row r="160" spans="9:31" x14ac:dyDescent="0.2">
      <c r="I160" t="s">
        <v>23</v>
      </c>
      <c r="K160" s="2">
        <f>R131</f>
        <v>724893.92600851215</v>
      </c>
      <c r="L160" t="s">
        <v>2</v>
      </c>
      <c r="U160" t="s">
        <v>23</v>
      </c>
      <c r="W160" s="2">
        <f>AD131</f>
        <v>717826.32938096754</v>
      </c>
      <c r="X160" t="s">
        <v>2</v>
      </c>
    </row>
    <row r="161" spans="9:25" x14ac:dyDescent="0.2">
      <c r="I161" t="s">
        <v>25</v>
      </c>
      <c r="K161" s="7">
        <f>L150*4</f>
        <v>43000</v>
      </c>
      <c r="L161" t="s">
        <v>2</v>
      </c>
      <c r="M161" s="6">
        <f>R150*K155/L151</f>
        <v>39405.866573583182</v>
      </c>
      <c r="U161" t="s">
        <v>25</v>
      </c>
      <c r="W161" s="7">
        <v>42800</v>
      </c>
      <c r="X161" t="s">
        <v>2</v>
      </c>
      <c r="Y161" s="6">
        <f>AD150*W155/X151</f>
        <v>41724.608958160861</v>
      </c>
    </row>
    <row r="162" spans="9:25" x14ac:dyDescent="0.2">
      <c r="I162" t="s">
        <v>48</v>
      </c>
      <c r="K162" s="2">
        <f>R131/20</f>
        <v>36244.69630042561</v>
      </c>
      <c r="L162" t="s">
        <v>2</v>
      </c>
      <c r="U162" t="s">
        <v>48</v>
      </c>
      <c r="W162" s="2">
        <f>AD131/20</f>
        <v>35891.316469048375</v>
      </c>
      <c r="X162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T82"/>
  <sheetViews>
    <sheetView tabSelected="1" topLeftCell="B1" workbookViewId="0">
      <selection activeCell="L43" sqref="L43"/>
    </sheetView>
  </sheetViews>
  <sheetFormatPr defaultRowHeight="12.75" x14ac:dyDescent="0.2"/>
  <sheetData>
    <row r="1" spans="3:20" x14ac:dyDescent="0.2">
      <c r="G1" t="s">
        <v>114</v>
      </c>
      <c r="I1" s="8">
        <v>3.14</v>
      </c>
    </row>
    <row r="2" spans="3:20" x14ac:dyDescent="0.2">
      <c r="G2" t="s">
        <v>106</v>
      </c>
      <c r="I2" s="8">
        <v>1140</v>
      </c>
    </row>
    <row r="3" spans="3:20" x14ac:dyDescent="0.2">
      <c r="G3" t="s">
        <v>107</v>
      </c>
      <c r="I3" s="8">
        <v>810</v>
      </c>
    </row>
    <row r="4" spans="3:20" x14ac:dyDescent="0.2">
      <c r="G4" t="s">
        <v>108</v>
      </c>
      <c r="I4" s="8">
        <v>70</v>
      </c>
    </row>
    <row r="5" spans="3:20" x14ac:dyDescent="0.2">
      <c r="H5" t="s">
        <v>16</v>
      </c>
      <c r="I5" s="8">
        <v>2.71</v>
      </c>
      <c r="K5" t="s">
        <v>18</v>
      </c>
    </row>
    <row r="6" spans="3:20" x14ac:dyDescent="0.2">
      <c r="C6" t="s">
        <v>3</v>
      </c>
      <c r="H6" t="s">
        <v>17</v>
      </c>
      <c r="I6" s="8">
        <v>9.81</v>
      </c>
      <c r="K6" t="s">
        <v>19</v>
      </c>
    </row>
    <row r="7" spans="3:20" x14ac:dyDescent="0.2">
      <c r="C7" t="s">
        <v>4</v>
      </c>
      <c r="K7" t="s">
        <v>20</v>
      </c>
      <c r="O7" t="s">
        <v>93</v>
      </c>
    </row>
    <row r="8" spans="3:20" x14ac:dyDescent="0.2">
      <c r="C8" t="s">
        <v>5</v>
      </c>
      <c r="E8" s="5">
        <v>3521.8</v>
      </c>
      <c r="F8" t="s">
        <v>1</v>
      </c>
      <c r="G8">
        <v>359</v>
      </c>
      <c r="H8" t="s">
        <v>6</v>
      </c>
      <c r="N8" t="s">
        <v>94</v>
      </c>
      <c r="O8" t="s">
        <v>97</v>
      </c>
      <c r="Q8" t="s">
        <v>98</v>
      </c>
      <c r="T8" t="s">
        <v>101</v>
      </c>
    </row>
    <row r="9" spans="3:20" x14ac:dyDescent="0.2">
      <c r="C9" t="s">
        <v>7</v>
      </c>
      <c r="E9" s="5">
        <v>294.3</v>
      </c>
      <c r="F9" t="s">
        <v>8</v>
      </c>
      <c r="G9">
        <v>30000</v>
      </c>
      <c r="H9" t="s">
        <v>9</v>
      </c>
      <c r="N9">
        <v>56.7</v>
      </c>
      <c r="O9" s="16">
        <v>23.9</v>
      </c>
      <c r="P9" t="s">
        <v>95</v>
      </c>
      <c r="Q9" s="16">
        <f>N9+O9</f>
        <v>80.599999999999994</v>
      </c>
      <c r="R9" t="s">
        <v>95</v>
      </c>
      <c r="T9" s="16">
        <v>2.34</v>
      </c>
    </row>
    <row r="10" spans="3:20" x14ac:dyDescent="0.2">
      <c r="C10" t="s">
        <v>0</v>
      </c>
      <c r="E10" s="5">
        <v>572</v>
      </c>
      <c r="F10" t="s">
        <v>2</v>
      </c>
      <c r="J10" t="s">
        <v>24</v>
      </c>
      <c r="L10" s="2">
        <f>(E20+E19+E18+E13+E21)*I5^(E16/E8)</f>
        <v>50000</v>
      </c>
    </row>
    <row r="11" spans="3:20" x14ac:dyDescent="0.2">
      <c r="C11" t="s">
        <v>10</v>
      </c>
      <c r="E11" s="2">
        <f>G9/E10</f>
        <v>52.447552447552447</v>
      </c>
      <c r="G11" t="s">
        <v>28</v>
      </c>
      <c r="H11" s="6">
        <f>G9*E21/E10</f>
        <v>0</v>
      </c>
      <c r="I11" t="s">
        <v>9</v>
      </c>
      <c r="J11" t="s">
        <v>27</v>
      </c>
      <c r="L11" s="2">
        <f>L10-(E21+E20+E19+E18+E13)</f>
        <v>0</v>
      </c>
    </row>
    <row r="12" spans="3:20" x14ac:dyDescent="0.2">
      <c r="C12" t="s">
        <v>11</v>
      </c>
      <c r="E12" s="5">
        <v>40</v>
      </c>
    </row>
    <row r="13" spans="3:20" x14ac:dyDescent="0.2">
      <c r="C13" t="s">
        <v>12</v>
      </c>
      <c r="E13" s="5">
        <v>0</v>
      </c>
      <c r="F13" t="s">
        <v>2</v>
      </c>
      <c r="J13" t="s">
        <v>99</v>
      </c>
      <c r="L13">
        <f>L11/Q9</f>
        <v>0</v>
      </c>
      <c r="M13" t="s">
        <v>6</v>
      </c>
      <c r="N13">
        <f>L13/60</f>
        <v>0</v>
      </c>
      <c r="O13" t="s">
        <v>100</v>
      </c>
    </row>
    <row r="14" spans="3:20" x14ac:dyDescent="0.2">
      <c r="C14" t="s">
        <v>13</v>
      </c>
      <c r="E14" s="5">
        <v>1E-3</v>
      </c>
    </row>
    <row r="15" spans="3:20" x14ac:dyDescent="0.2">
      <c r="C15" t="s">
        <v>14</v>
      </c>
      <c r="E15" s="5">
        <v>0.1</v>
      </c>
      <c r="K15" t="s">
        <v>104</v>
      </c>
      <c r="L15" t="s">
        <v>105</v>
      </c>
    </row>
    <row r="16" spans="3:20" x14ac:dyDescent="0.2">
      <c r="C16" t="s">
        <v>15</v>
      </c>
      <c r="E16" s="5">
        <v>0</v>
      </c>
      <c r="F16" t="s">
        <v>1</v>
      </c>
      <c r="J16" t="s">
        <v>102</v>
      </c>
      <c r="K16">
        <f>L13*N9</f>
        <v>0</v>
      </c>
      <c r="L16">
        <f>K16/I2</f>
        <v>0</v>
      </c>
    </row>
    <row r="17" spans="3:17" x14ac:dyDescent="0.2">
      <c r="G17" t="s">
        <v>26</v>
      </c>
      <c r="J17" t="s">
        <v>103</v>
      </c>
      <c r="K17">
        <f>L13*O9</f>
        <v>0</v>
      </c>
      <c r="L17">
        <f>K17/I3</f>
        <v>0</v>
      </c>
    </row>
    <row r="18" spans="3:17" x14ac:dyDescent="0.2">
      <c r="C18" t="s">
        <v>21</v>
      </c>
      <c r="E18" s="7">
        <v>0</v>
      </c>
      <c r="F18" t="s">
        <v>2</v>
      </c>
      <c r="G18" s="6">
        <f>L11/E12</f>
        <v>0</v>
      </c>
    </row>
    <row r="19" spans="3:17" x14ac:dyDescent="0.2">
      <c r="C19" t="s">
        <v>22</v>
      </c>
      <c r="E19" s="9">
        <v>0</v>
      </c>
      <c r="F19" t="s">
        <v>2</v>
      </c>
      <c r="G19" s="6">
        <f>L10*E14</f>
        <v>50</v>
      </c>
    </row>
    <row r="20" spans="3:17" x14ac:dyDescent="0.2">
      <c r="C20" t="s">
        <v>23</v>
      </c>
      <c r="E20" s="4">
        <v>50000</v>
      </c>
      <c r="F20" t="s">
        <v>2</v>
      </c>
    </row>
    <row r="21" spans="3:17" x14ac:dyDescent="0.2">
      <c r="C21" t="s">
        <v>25</v>
      </c>
      <c r="E21" s="7">
        <v>0</v>
      </c>
      <c r="F21" t="s">
        <v>2</v>
      </c>
      <c r="G21" s="6">
        <f>L10*E15/E11</f>
        <v>95.333333333333329</v>
      </c>
    </row>
    <row r="24" spans="3:17" x14ac:dyDescent="0.2">
      <c r="C24" t="s">
        <v>35</v>
      </c>
    </row>
    <row r="25" spans="3:17" x14ac:dyDescent="0.2">
      <c r="C25" t="s">
        <v>29</v>
      </c>
    </row>
    <row r="26" spans="3:17" x14ac:dyDescent="0.2">
      <c r="C26" t="s">
        <v>31</v>
      </c>
      <c r="F26" s="5">
        <v>4071</v>
      </c>
      <c r="G26" t="s">
        <v>1</v>
      </c>
    </row>
    <row r="27" spans="3:17" x14ac:dyDescent="0.2">
      <c r="C27" t="s">
        <v>32</v>
      </c>
      <c r="F27" s="5">
        <v>4532</v>
      </c>
      <c r="G27" t="s">
        <v>1</v>
      </c>
    </row>
    <row r="28" spans="3:17" x14ac:dyDescent="0.2">
      <c r="C28" t="s">
        <v>30</v>
      </c>
      <c r="F28" s="5">
        <v>4001.2</v>
      </c>
      <c r="G28" t="s">
        <v>8</v>
      </c>
      <c r="H28">
        <f>F28*1000/I6</f>
        <v>407869.52089704381</v>
      </c>
      <c r="I28" t="s">
        <v>9</v>
      </c>
      <c r="P28" t="s">
        <v>104</v>
      </c>
      <c r="Q28" t="s">
        <v>105</v>
      </c>
    </row>
    <row r="29" spans="3:17" x14ac:dyDescent="0.2">
      <c r="C29" t="s">
        <v>33</v>
      </c>
      <c r="F29" s="5">
        <v>1569</v>
      </c>
      <c r="G29" t="s">
        <v>8</v>
      </c>
      <c r="H29">
        <f>F29*1000/I6</f>
        <v>159938.83792048928</v>
      </c>
      <c r="I29" t="s">
        <v>9</v>
      </c>
      <c r="O29" t="s">
        <v>102</v>
      </c>
      <c r="P29">
        <f>N48*L35</f>
        <v>78423.854269478223</v>
      </c>
      <c r="Q29">
        <f>P29/I2</f>
        <v>68.792854622349324</v>
      </c>
    </row>
    <row r="30" spans="3:17" x14ac:dyDescent="0.2">
      <c r="C30" t="s">
        <v>0</v>
      </c>
      <c r="F30" s="5">
        <v>1923</v>
      </c>
      <c r="G30" t="s">
        <v>2</v>
      </c>
      <c r="J30" t="s">
        <v>24</v>
      </c>
      <c r="L30" s="2">
        <f>(E40+E39+E38+E33+G42+E41)*I5^(E36/F27)</f>
        <v>158171.84130958671</v>
      </c>
      <c r="M30" t="s">
        <v>2</v>
      </c>
      <c r="O30" t="s">
        <v>109</v>
      </c>
      <c r="P30">
        <f>L35*O48</f>
        <v>13044.237040108499</v>
      </c>
      <c r="Q30">
        <f>P30/I4</f>
        <v>186.3462434301214</v>
      </c>
    </row>
    <row r="31" spans="3:17" x14ac:dyDescent="0.2">
      <c r="C31" t="s">
        <v>34</v>
      </c>
      <c r="E31" s="2">
        <f>H29/F30</f>
        <v>83.171522579557603</v>
      </c>
      <c r="G31" t="s">
        <v>28</v>
      </c>
      <c r="H31" s="6">
        <f>H29*E41/F30</f>
        <v>159938.83792048928</v>
      </c>
      <c r="I31" t="s">
        <v>9</v>
      </c>
      <c r="L31" s="2"/>
    </row>
    <row r="32" spans="3:17" x14ac:dyDescent="0.2">
      <c r="C32" t="s">
        <v>11</v>
      </c>
      <c r="E32" s="5">
        <v>40</v>
      </c>
      <c r="J32" t="s">
        <v>27</v>
      </c>
      <c r="L32" s="2">
        <f>L30-(E41+E40+E39+G42+E38+E33)</f>
        <v>91468.091309586714</v>
      </c>
      <c r="M32" t="s">
        <v>2</v>
      </c>
    </row>
    <row r="33" spans="3:20" x14ac:dyDescent="0.2">
      <c r="C33" t="s">
        <v>12</v>
      </c>
      <c r="E33" s="5">
        <v>40</v>
      </c>
      <c r="F33" t="s">
        <v>2</v>
      </c>
      <c r="J33" t="s">
        <v>44</v>
      </c>
      <c r="L33" s="2">
        <f>G42+E41+E39+E38+E33</f>
        <v>16703.75</v>
      </c>
      <c r="M33" t="s">
        <v>2</v>
      </c>
      <c r="R33" t="s">
        <v>115</v>
      </c>
    </row>
    <row r="34" spans="3:20" x14ac:dyDescent="0.2">
      <c r="C34" t="s">
        <v>13</v>
      </c>
      <c r="E34" s="5">
        <v>1E-3</v>
      </c>
      <c r="R34" t="s">
        <v>116</v>
      </c>
    </row>
    <row r="35" spans="3:20" x14ac:dyDescent="0.2">
      <c r="C35" t="s">
        <v>14</v>
      </c>
      <c r="E35" s="5">
        <v>1</v>
      </c>
      <c r="J35" t="s">
        <v>99</v>
      </c>
      <c r="L35">
        <f>L32/R48</f>
        <v>528.10676275742912</v>
      </c>
      <c r="M35" t="s">
        <v>6</v>
      </c>
      <c r="N35">
        <f>L35/60</f>
        <v>8.801779379290485</v>
      </c>
      <c r="O35" t="s">
        <v>100</v>
      </c>
    </row>
    <row r="36" spans="3:20" x14ac:dyDescent="0.2">
      <c r="C36" t="s">
        <v>15</v>
      </c>
      <c r="E36" s="5">
        <f>(7850-E16)/2</f>
        <v>3925</v>
      </c>
      <c r="F36" t="s">
        <v>1</v>
      </c>
    </row>
    <row r="37" spans="3:20" x14ac:dyDescent="0.2">
      <c r="G37" t="s">
        <v>26</v>
      </c>
      <c r="I37" t="s">
        <v>37</v>
      </c>
    </row>
    <row r="38" spans="3:20" x14ac:dyDescent="0.2">
      <c r="C38" t="s">
        <v>21</v>
      </c>
      <c r="E38" s="7">
        <v>14000</v>
      </c>
      <c r="F38" t="s">
        <v>2</v>
      </c>
      <c r="G38" s="6">
        <f>L30/E32</f>
        <v>3954.2960327396677</v>
      </c>
      <c r="I38" s="6">
        <f>E38-G38</f>
        <v>10045.703967260331</v>
      </c>
      <c r="J38" t="s">
        <v>2</v>
      </c>
      <c r="N38" t="s">
        <v>112</v>
      </c>
      <c r="T38">
        <f>Q29+Q30+R52+R53+R54</f>
        <v>631.53575531097022</v>
      </c>
    </row>
    <row r="39" spans="3:20" x14ac:dyDescent="0.2">
      <c r="C39" t="s">
        <v>22</v>
      </c>
      <c r="E39" s="9">
        <v>200</v>
      </c>
      <c r="F39" t="s">
        <v>2</v>
      </c>
      <c r="G39" s="6">
        <f>L30*E34</f>
        <v>158.17184130958671</v>
      </c>
      <c r="N39" t="s">
        <v>113</v>
      </c>
      <c r="T39">
        <f>T38*1.05</f>
        <v>663.1125430765187</v>
      </c>
    </row>
    <row r="40" spans="3:20" x14ac:dyDescent="0.2">
      <c r="C40" t="s">
        <v>23</v>
      </c>
      <c r="E40" s="2">
        <f>L10</f>
        <v>50000</v>
      </c>
      <c r="F40" t="s">
        <v>2</v>
      </c>
    </row>
    <row r="41" spans="3:20" x14ac:dyDescent="0.2">
      <c r="C41" t="s">
        <v>25</v>
      </c>
      <c r="E41" s="7">
        <v>1923</v>
      </c>
      <c r="F41" t="s">
        <v>2</v>
      </c>
      <c r="G41" s="6">
        <f>L30*E35/E31</f>
        <v>1901.7547882243909</v>
      </c>
      <c r="N41" t="s">
        <v>117</v>
      </c>
      <c r="O41">
        <v>1.5</v>
      </c>
      <c r="P41">
        <v>2</v>
      </c>
      <c r="Q41">
        <v>2.5</v>
      </c>
      <c r="R41">
        <v>3</v>
      </c>
      <c r="S41">
        <v>3.5</v>
      </c>
    </row>
    <row r="42" spans="3:20" x14ac:dyDescent="0.2">
      <c r="C42" t="s">
        <v>45</v>
      </c>
      <c r="E42" s="7">
        <v>750</v>
      </c>
      <c r="F42" t="s">
        <v>2</v>
      </c>
      <c r="G42" s="6">
        <f>(E41+E39+E33)/4</f>
        <v>540.75</v>
      </c>
      <c r="J42" t="s">
        <v>46</v>
      </c>
      <c r="L42" s="2">
        <f>E42+E41+E39+E33</f>
        <v>2913</v>
      </c>
      <c r="M42" t="s">
        <v>2</v>
      </c>
      <c r="N42" t="s">
        <v>118</v>
      </c>
      <c r="O42">
        <f>T39/(I1*O41^2)-4/3*O41+2*O41</f>
        <v>94.858817137511494</v>
      </c>
      <c r="P42">
        <f>T39/(I1*P41^2)-4/3*P41+2*P41</f>
        <v>54.128917973183547</v>
      </c>
      <c r="Q42">
        <f>T39/(I1*Q41^2)-4/3*Q41+2*Q41</f>
        <v>35.455840836170808</v>
      </c>
      <c r="R42">
        <f>T39/(I1*R41^2)-4/3*R41+2*R41</f>
        <v>25.464704284377873</v>
      </c>
      <c r="S42">
        <f>T39/(I1*S41^2)-4/3*S41+2*S41</f>
        <v>19.572707909610955</v>
      </c>
    </row>
    <row r="43" spans="3:20" x14ac:dyDescent="0.2">
      <c r="J43" t="s">
        <v>47</v>
      </c>
      <c r="L43" s="2">
        <f>L53+L32</f>
        <v>308362.5900972971</v>
      </c>
      <c r="M43" t="s">
        <v>2</v>
      </c>
    </row>
    <row r="45" spans="3:20" x14ac:dyDescent="0.2">
      <c r="C45" t="s">
        <v>36</v>
      </c>
      <c r="O45" t="s">
        <v>93</v>
      </c>
    </row>
    <row r="46" spans="3:20" x14ac:dyDescent="0.2">
      <c r="C46" t="s">
        <v>29</v>
      </c>
      <c r="N46" t="s">
        <v>94</v>
      </c>
      <c r="O46" t="s">
        <v>96</v>
      </c>
      <c r="P46" t="s">
        <v>97</v>
      </c>
      <c r="R46" t="s">
        <v>98</v>
      </c>
    </row>
    <row r="47" spans="3:20" x14ac:dyDescent="0.2">
      <c r="C47" t="s">
        <v>31</v>
      </c>
      <c r="F47" s="5">
        <v>4071</v>
      </c>
      <c r="G47" t="s">
        <v>1</v>
      </c>
      <c r="N47">
        <v>388.4</v>
      </c>
      <c r="O47">
        <v>29.5</v>
      </c>
      <c r="P47">
        <v>73.7</v>
      </c>
      <c r="Q47" t="s">
        <v>95</v>
      </c>
      <c r="R47">
        <f>N47+O47+P47</f>
        <v>491.59999999999997</v>
      </c>
      <c r="S47" t="s">
        <v>95</v>
      </c>
    </row>
    <row r="48" spans="3:20" x14ac:dyDescent="0.2">
      <c r="C48" t="s">
        <v>32</v>
      </c>
      <c r="F48" s="5">
        <v>4532</v>
      </c>
      <c r="G48" t="s">
        <v>1</v>
      </c>
      <c r="N48">
        <v>148.5</v>
      </c>
      <c r="O48">
        <v>24.7</v>
      </c>
      <c r="Q48" t="s">
        <v>95</v>
      </c>
      <c r="R48">
        <f>N48+O48+P48</f>
        <v>173.2</v>
      </c>
      <c r="S48" t="s">
        <v>95</v>
      </c>
    </row>
    <row r="49" spans="3:18" x14ac:dyDescent="0.2">
      <c r="C49" t="s">
        <v>30</v>
      </c>
      <c r="F49" s="5">
        <v>4001.2</v>
      </c>
      <c r="G49" t="s">
        <v>8</v>
      </c>
      <c r="H49">
        <f>F49*1000/I6</f>
        <v>407869.52089704381</v>
      </c>
      <c r="I49" t="s">
        <v>9</v>
      </c>
    </row>
    <row r="50" spans="3:18" x14ac:dyDescent="0.2">
      <c r="C50" t="s">
        <v>33</v>
      </c>
      <c r="F50" s="5">
        <v>1569</v>
      </c>
      <c r="G50" t="s">
        <v>8</v>
      </c>
      <c r="H50">
        <f>F50*1000/I6</f>
        <v>159938.83792048928</v>
      </c>
      <c r="I50" t="s">
        <v>9</v>
      </c>
    </row>
    <row r="51" spans="3:18" x14ac:dyDescent="0.2">
      <c r="C51" t="s">
        <v>0</v>
      </c>
      <c r="F51" s="5">
        <v>1923</v>
      </c>
      <c r="G51" t="s">
        <v>2</v>
      </c>
      <c r="J51" t="s">
        <v>24</v>
      </c>
      <c r="L51" s="2">
        <f>(E61+E60+E59+E54+E62)*I5^(E57/F48)</f>
        <v>375066.3400972971</v>
      </c>
      <c r="M51" t="s">
        <v>2</v>
      </c>
      <c r="Q51" t="s">
        <v>104</v>
      </c>
      <c r="R51" t="s">
        <v>105</v>
      </c>
    </row>
    <row r="52" spans="3:18" x14ac:dyDescent="0.2">
      <c r="C52" t="s">
        <v>34</v>
      </c>
      <c r="E52" s="2">
        <f>H49/F51</f>
        <v>212.10063489185845</v>
      </c>
      <c r="G52" t="s">
        <v>28</v>
      </c>
      <c r="H52" s="6">
        <f>H49*E41/F51</f>
        <v>407869.52089704381</v>
      </c>
      <c r="I52" t="s">
        <v>9</v>
      </c>
      <c r="P52" t="s">
        <v>102</v>
      </c>
      <c r="Q52">
        <f>L55*N47</f>
        <v>171362.53728467599</v>
      </c>
      <c r="R52">
        <f>Q52/I2</f>
        <v>150.31801516199647</v>
      </c>
    </row>
    <row r="53" spans="3:18" x14ac:dyDescent="0.2">
      <c r="C53" t="s">
        <v>11</v>
      </c>
      <c r="E53" s="5">
        <v>40</v>
      </c>
      <c r="J53" t="s">
        <v>27</v>
      </c>
      <c r="L53" s="2">
        <f>L51-(E62+E61+E60+E59+E54)</f>
        <v>216894.49878771038</v>
      </c>
      <c r="M53" t="s">
        <v>2</v>
      </c>
      <c r="P53" t="s">
        <v>109</v>
      </c>
      <c r="Q53">
        <f>L55*O47</f>
        <v>13015.434731972045</v>
      </c>
      <c r="R53">
        <f>Q53/I4</f>
        <v>185.93478188531495</v>
      </c>
    </row>
    <row r="54" spans="3:18" x14ac:dyDescent="0.2">
      <c r="C54" t="s">
        <v>12</v>
      </c>
      <c r="E54" s="5">
        <v>0</v>
      </c>
      <c r="F54" t="s">
        <v>2</v>
      </c>
      <c r="P54" t="s">
        <v>103</v>
      </c>
      <c r="Q54">
        <f>L55*P47</f>
        <v>32516.526771062363</v>
      </c>
      <c r="R54">
        <f>Q54/I3</f>
        <v>40.143860211188105</v>
      </c>
    </row>
    <row r="55" spans="3:18" x14ac:dyDescent="0.2">
      <c r="C55" t="s">
        <v>13</v>
      </c>
      <c r="E55" s="5">
        <v>0</v>
      </c>
      <c r="J55" t="s">
        <v>99</v>
      </c>
      <c r="L55">
        <f>L53/R47</f>
        <v>441.20117735498457</v>
      </c>
      <c r="M55" t="s">
        <v>6</v>
      </c>
      <c r="N55">
        <f>L55/60</f>
        <v>7.3533529559164093</v>
      </c>
      <c r="O55" t="s">
        <v>100</v>
      </c>
    </row>
    <row r="56" spans="3:18" x14ac:dyDescent="0.2">
      <c r="C56" t="s">
        <v>14</v>
      </c>
      <c r="E56" s="5">
        <v>0.5</v>
      </c>
    </row>
    <row r="57" spans="3:18" x14ac:dyDescent="0.2">
      <c r="C57" t="s">
        <v>15</v>
      </c>
      <c r="E57" s="5">
        <f>7850-E36-E16</f>
        <v>3925</v>
      </c>
      <c r="F57" t="s">
        <v>1</v>
      </c>
    </row>
    <row r="58" spans="3:18" x14ac:dyDescent="0.2">
      <c r="G58" t="s">
        <v>26</v>
      </c>
    </row>
    <row r="59" spans="3:18" x14ac:dyDescent="0.2">
      <c r="C59" t="s">
        <v>21</v>
      </c>
      <c r="E59" s="7">
        <v>0</v>
      </c>
      <c r="F59" t="s">
        <v>2</v>
      </c>
      <c r="G59" s="6">
        <f>L51/E53</f>
        <v>9376.6585024324268</v>
      </c>
      <c r="H59" t="s">
        <v>38</v>
      </c>
    </row>
    <row r="60" spans="3:18" x14ac:dyDescent="0.2">
      <c r="C60" t="s">
        <v>22</v>
      </c>
      <c r="E60" s="9">
        <v>0</v>
      </c>
      <c r="F60" t="s">
        <v>2</v>
      </c>
      <c r="G60" s="6">
        <f>L51*E55</f>
        <v>0</v>
      </c>
      <c r="H60" t="s">
        <v>38</v>
      </c>
    </row>
    <row r="61" spans="3:18" x14ac:dyDescent="0.2">
      <c r="C61" t="s">
        <v>23</v>
      </c>
      <c r="E61" s="2">
        <f>L30</f>
        <v>158171.84130958671</v>
      </c>
      <c r="F61" t="s">
        <v>2</v>
      </c>
    </row>
    <row r="62" spans="3:18" x14ac:dyDescent="0.2">
      <c r="C62" t="s">
        <v>25</v>
      </c>
      <c r="E62" s="7">
        <v>0</v>
      </c>
      <c r="F62" t="s">
        <v>2</v>
      </c>
      <c r="G62" s="6">
        <f>L51*E56/E52</f>
        <v>884.17071520914658</v>
      </c>
      <c r="H62" t="s">
        <v>38</v>
      </c>
    </row>
    <row r="66" spans="3:20" x14ac:dyDescent="0.2">
      <c r="C66" t="s">
        <v>39</v>
      </c>
    </row>
    <row r="67" spans="3:20" x14ac:dyDescent="0.2">
      <c r="C67" t="s">
        <v>40</v>
      </c>
      <c r="O67" t="s">
        <v>93</v>
      </c>
    </row>
    <row r="68" spans="3:20" x14ac:dyDescent="0.2">
      <c r="C68" t="s">
        <v>41</v>
      </c>
      <c r="F68" s="5">
        <f>320*I6</f>
        <v>3139.2000000000003</v>
      </c>
      <c r="G68" t="s">
        <v>1</v>
      </c>
      <c r="N68" t="s">
        <v>94</v>
      </c>
      <c r="O68" t="s">
        <v>97</v>
      </c>
      <c r="Q68" t="s">
        <v>98</v>
      </c>
      <c r="T68" t="s">
        <v>101</v>
      </c>
    </row>
    <row r="69" spans="3:20" x14ac:dyDescent="0.2">
      <c r="C69" t="s">
        <v>42</v>
      </c>
      <c r="F69" s="5">
        <f>740*I6</f>
        <v>7259.4000000000005</v>
      </c>
      <c r="G69" t="s">
        <v>8</v>
      </c>
      <c r="H69">
        <v>740000</v>
      </c>
      <c r="I69" t="s">
        <v>9</v>
      </c>
      <c r="N69">
        <f>Q69-O69</f>
        <v>1733.7713498622588</v>
      </c>
      <c r="O69">
        <f>Q69/(T69+1)</f>
        <v>659.22865013774106</v>
      </c>
      <c r="P69" t="s">
        <v>95</v>
      </c>
      <c r="Q69">
        <v>2393</v>
      </c>
      <c r="R69" t="s">
        <v>95</v>
      </c>
      <c r="T69">
        <v>2.63</v>
      </c>
    </row>
    <row r="70" spans="3:20" x14ac:dyDescent="0.2">
      <c r="C70" t="s">
        <v>0</v>
      </c>
      <c r="F70" s="5">
        <v>10750</v>
      </c>
      <c r="G70" t="s">
        <v>2</v>
      </c>
      <c r="J70" t="s">
        <v>24</v>
      </c>
      <c r="L70" s="2">
        <f>(E80+E79+E78+E73+E81+E82)*I5^(E76/F68)</f>
        <v>997187.92268970446</v>
      </c>
      <c r="M70" t="s">
        <v>2</v>
      </c>
    </row>
    <row r="71" spans="3:20" x14ac:dyDescent="0.2">
      <c r="C71" t="s">
        <v>34</v>
      </c>
      <c r="F71" s="2">
        <f>H69/F70</f>
        <v>68.837209302325576</v>
      </c>
      <c r="J71" t="s">
        <v>27</v>
      </c>
      <c r="L71" s="2">
        <f>L70-(E81+E80+E79+E78+E73+E82)</f>
        <v>531858.26558754244</v>
      </c>
      <c r="M71" t="s">
        <v>2</v>
      </c>
    </row>
    <row r="72" spans="3:20" x14ac:dyDescent="0.2">
      <c r="C72" t="s">
        <v>11</v>
      </c>
      <c r="E72" s="5">
        <v>20</v>
      </c>
      <c r="G72" t="s">
        <v>28</v>
      </c>
      <c r="H72" s="6">
        <f>H69*E81/F70</f>
        <v>1480000</v>
      </c>
      <c r="I72" t="s">
        <v>9</v>
      </c>
      <c r="J72" t="s">
        <v>43</v>
      </c>
      <c r="L72" s="2">
        <f>E78+E79+E81+E73+E82</f>
        <v>90263.317004864861</v>
      </c>
      <c r="M72" t="s">
        <v>2</v>
      </c>
    </row>
    <row r="73" spans="3:20" x14ac:dyDescent="0.2">
      <c r="C73" t="s">
        <v>12</v>
      </c>
      <c r="E73" s="5">
        <v>10</v>
      </c>
      <c r="F73" t="s">
        <v>2</v>
      </c>
    </row>
    <row r="74" spans="3:20" x14ac:dyDescent="0.2">
      <c r="C74" t="s">
        <v>13</v>
      </c>
      <c r="E74" s="5">
        <v>0</v>
      </c>
      <c r="J74" t="s">
        <v>99</v>
      </c>
      <c r="L74">
        <f>L71/Q69</f>
        <v>222.25585691079917</v>
      </c>
      <c r="M74" t="s">
        <v>6</v>
      </c>
      <c r="N74">
        <f>L74/60</f>
        <v>3.7042642818466529</v>
      </c>
      <c r="O74" t="s">
        <v>100</v>
      </c>
    </row>
    <row r="75" spans="3:20" x14ac:dyDescent="0.2">
      <c r="C75" t="s">
        <v>14</v>
      </c>
      <c r="E75" s="5">
        <v>1.5</v>
      </c>
    </row>
    <row r="76" spans="3:20" x14ac:dyDescent="0.2">
      <c r="C76" t="s">
        <v>15</v>
      </c>
      <c r="E76" s="5">
        <v>2400</v>
      </c>
      <c r="F76" t="s">
        <v>1</v>
      </c>
    </row>
    <row r="77" spans="3:20" x14ac:dyDescent="0.2">
      <c r="G77" t="s">
        <v>26</v>
      </c>
      <c r="K77" t="s">
        <v>104</v>
      </c>
      <c r="L77" t="s">
        <v>105</v>
      </c>
    </row>
    <row r="78" spans="3:20" x14ac:dyDescent="0.2">
      <c r="C78" t="s">
        <v>21</v>
      </c>
      <c r="E78" s="7">
        <v>50000</v>
      </c>
      <c r="F78" t="s">
        <v>2</v>
      </c>
      <c r="G78" s="6">
        <f>L70/E72</f>
        <v>49859.396134485221</v>
      </c>
      <c r="J78" t="s">
        <v>102</v>
      </c>
      <c r="K78">
        <f>L74*N69</f>
        <v>385340.83705102932</v>
      </c>
      <c r="L78">
        <f>K78/I2</f>
        <v>338.01827811493797</v>
      </c>
    </row>
    <row r="79" spans="3:20" x14ac:dyDescent="0.2">
      <c r="C79" t="s">
        <v>22</v>
      </c>
      <c r="E79" s="9">
        <v>0</v>
      </c>
      <c r="F79" t="s">
        <v>2</v>
      </c>
      <c r="G79" s="6">
        <f>L70*E74</f>
        <v>0</v>
      </c>
      <c r="J79" t="s">
        <v>103</v>
      </c>
      <c r="K79">
        <f>L74*O69</f>
        <v>146517.42853651306</v>
      </c>
      <c r="L79">
        <f>K79/I3</f>
        <v>180.88571424260871</v>
      </c>
    </row>
    <row r="80" spans="3:20" x14ac:dyDescent="0.2">
      <c r="C80" t="s">
        <v>23</v>
      </c>
      <c r="E80" s="2">
        <f>L51</f>
        <v>375066.3400972971</v>
      </c>
      <c r="F80" t="s">
        <v>2</v>
      </c>
    </row>
    <row r="81" spans="3:15" x14ac:dyDescent="0.2">
      <c r="C81" t="s">
        <v>25</v>
      </c>
      <c r="E81" s="7">
        <f>F70*2</f>
        <v>21500</v>
      </c>
      <c r="F81" t="s">
        <v>2</v>
      </c>
      <c r="G81" s="6">
        <f>L70*E75/F71</f>
        <v>21729.263855907415</v>
      </c>
      <c r="J81" t="s">
        <v>110</v>
      </c>
      <c r="O81">
        <f>L79+L78</f>
        <v>518.90399235754671</v>
      </c>
    </row>
    <row r="82" spans="3:15" x14ac:dyDescent="0.2">
      <c r="C82" t="s">
        <v>48</v>
      </c>
      <c r="E82" s="2">
        <f>L51/20</f>
        <v>18753.317004864854</v>
      </c>
      <c r="F82" t="s">
        <v>2</v>
      </c>
      <c r="J82" t="s">
        <v>111</v>
      </c>
      <c r="O82">
        <f>O81*1.05</f>
        <v>544.84919197542411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Отображение</vt:lpstr>
      <vt:lpstr>Расчет</vt:lpstr>
      <vt:lpstr>Распределение ХС</vt:lpstr>
      <vt:lpstr>Принятая конфигурация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Павел</cp:lastModifiedBy>
  <dcterms:created xsi:type="dcterms:W3CDTF">2018-05-16T15:05:28Z</dcterms:created>
  <dcterms:modified xsi:type="dcterms:W3CDTF">2018-10-11T12:26:28Z</dcterms:modified>
</cp:coreProperties>
</file>