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виация\Проектирование\"/>
    </mc:Choice>
  </mc:AlternateContent>
  <bookViews>
    <workbookView xWindow="480" yWindow="225" windowWidth="13395" windowHeight="13995"/>
  </bookViews>
  <sheets>
    <sheet name="Расчёт по чертежу Т-50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2" i="1" l="1"/>
  <c r="C133" i="1" s="1"/>
  <c r="C126" i="1"/>
  <c r="C125" i="1"/>
  <c r="C106" i="1"/>
  <c r="C104" i="1"/>
  <c r="C103" i="1"/>
  <c r="C99" i="1"/>
  <c r="C71" i="1"/>
  <c r="C75" i="1" s="1"/>
  <c r="C79" i="1" s="1"/>
  <c r="C69" i="1"/>
  <c r="C66" i="1"/>
  <c r="C63" i="1"/>
  <c r="C60" i="1"/>
  <c r="C57" i="1"/>
  <c r="C55" i="1"/>
  <c r="C54" i="1"/>
  <c r="C23" i="1"/>
  <c r="C25" i="1"/>
  <c r="C10" i="1"/>
  <c r="C12" i="1" s="1"/>
  <c r="C8" i="1"/>
  <c r="C15" i="1" s="1"/>
  <c r="C142" i="1" l="1"/>
  <c r="C76" i="1"/>
  <c r="C72" i="1"/>
  <c r="C73" i="1" s="1"/>
  <c r="C74" i="1"/>
  <c r="C28" i="1"/>
  <c r="C24" i="1"/>
  <c r="C11" i="1"/>
  <c r="C9" i="1"/>
  <c r="G132" i="1"/>
  <c r="G133" i="1" s="1"/>
  <c r="G126" i="1"/>
  <c r="G106" i="1"/>
  <c r="G104" i="1"/>
  <c r="G103" i="1"/>
  <c r="G99" i="1"/>
  <c r="G69" i="1"/>
  <c r="G66" i="1"/>
  <c r="G63" i="1"/>
  <c r="G60" i="1"/>
  <c r="G54" i="1"/>
  <c r="G55" i="1" s="1"/>
  <c r="G57" i="1" s="1"/>
  <c r="G71" i="1" s="1"/>
  <c r="G42" i="1"/>
  <c r="G25" i="1"/>
  <c r="G28" i="1" s="1"/>
  <c r="G12" i="1"/>
  <c r="G10" i="1"/>
  <c r="G125" i="1" s="1"/>
  <c r="G8" i="1"/>
  <c r="G15" i="1" s="1"/>
  <c r="C84" i="1" l="1"/>
  <c r="C83" i="1"/>
  <c r="C130" i="1" s="1"/>
  <c r="C86" i="1"/>
  <c r="C109" i="1" s="1"/>
  <c r="C82" i="1"/>
  <c r="C87" i="1"/>
  <c r="C120" i="1" s="1"/>
  <c r="C85" i="1"/>
  <c r="G23" i="1"/>
  <c r="G11" i="1"/>
  <c r="G75" i="1"/>
  <c r="G142" i="1" s="1"/>
  <c r="G24" i="1"/>
  <c r="G9" i="1"/>
  <c r="F42" i="1"/>
  <c r="C113" i="1" l="1"/>
  <c r="C116" i="1"/>
  <c r="C122" i="1"/>
  <c r="C123" i="1" s="1"/>
  <c r="C92" i="1"/>
  <c r="C95" i="1"/>
  <c r="C121" i="1"/>
  <c r="C47" i="1"/>
  <c r="C110" i="1"/>
  <c r="C108" i="1"/>
  <c r="C90" i="1"/>
  <c r="C96" i="1"/>
  <c r="C127" i="1" s="1"/>
  <c r="C141" i="1"/>
  <c r="C93" i="1"/>
  <c r="C100" i="1" s="1"/>
  <c r="G76" i="1"/>
  <c r="G72" i="1"/>
  <c r="G73" i="1" s="1"/>
  <c r="G74" i="1"/>
  <c r="F25" i="1"/>
  <c r="F24" i="1" s="1"/>
  <c r="F126" i="1"/>
  <c r="F106" i="1"/>
  <c r="F104" i="1"/>
  <c r="F103" i="1"/>
  <c r="F99" i="1"/>
  <c r="F69" i="1"/>
  <c r="F66" i="1"/>
  <c r="F63" i="1"/>
  <c r="F60" i="1"/>
  <c r="F54" i="1"/>
  <c r="F55" i="1" s="1"/>
  <c r="F57" i="1" s="1"/>
  <c r="F28" i="1"/>
  <c r="F12" i="1"/>
  <c r="F11" i="1"/>
  <c r="F10" i="1"/>
  <c r="F125" i="1" s="1"/>
  <c r="F8" i="1"/>
  <c r="F9" i="1" s="1"/>
  <c r="C114" i="1" l="1"/>
  <c r="C117" i="1"/>
  <c r="C112" i="1"/>
  <c r="C137" i="1"/>
  <c r="C138" i="1" s="1"/>
  <c r="C135" i="1"/>
  <c r="C136" i="1" s="1"/>
  <c r="F15" i="1"/>
  <c r="G85" i="1"/>
  <c r="G86" i="1"/>
  <c r="G109" i="1" s="1"/>
  <c r="G84" i="1"/>
  <c r="G141" i="1" s="1"/>
  <c r="G87" i="1"/>
  <c r="G120" i="1" s="1"/>
  <c r="G83" i="1"/>
  <c r="G130" i="1" s="1"/>
  <c r="G82" i="1"/>
  <c r="F71" i="1"/>
  <c r="F75" i="1" s="1"/>
  <c r="F142" i="1" s="1"/>
  <c r="F23" i="1"/>
  <c r="U69" i="1"/>
  <c r="T69" i="1"/>
  <c r="V126" i="1"/>
  <c r="U126" i="1"/>
  <c r="T126" i="1"/>
  <c r="V106" i="1"/>
  <c r="U106" i="1"/>
  <c r="T106" i="1"/>
  <c r="V104" i="1"/>
  <c r="U104" i="1"/>
  <c r="T104" i="1"/>
  <c r="V103" i="1"/>
  <c r="U103" i="1"/>
  <c r="T103" i="1"/>
  <c r="V99" i="1"/>
  <c r="U99" i="1"/>
  <c r="T99" i="1"/>
  <c r="V69" i="1"/>
  <c r="V66" i="1"/>
  <c r="U66" i="1"/>
  <c r="T66" i="1"/>
  <c r="V63" i="1"/>
  <c r="U63" i="1"/>
  <c r="T63" i="1"/>
  <c r="V60" i="1"/>
  <c r="U60" i="1"/>
  <c r="T60" i="1"/>
  <c r="V54" i="1"/>
  <c r="V55" i="1" s="1"/>
  <c r="V57" i="1" s="1"/>
  <c r="U54" i="1"/>
  <c r="U55" i="1" s="1"/>
  <c r="U57" i="1" s="1"/>
  <c r="T54" i="1"/>
  <c r="T55" i="1" s="1"/>
  <c r="T57" i="1" s="1"/>
  <c r="V42" i="1"/>
  <c r="U42" i="1"/>
  <c r="T42" i="1"/>
  <c r="U28" i="1"/>
  <c r="T28" i="1"/>
  <c r="V22" i="1"/>
  <c r="V25" i="1" s="1"/>
  <c r="V24" i="1" s="1"/>
  <c r="U22" i="1"/>
  <c r="U24" i="1" s="1"/>
  <c r="T22" i="1"/>
  <c r="T24" i="1" s="1"/>
  <c r="V10" i="1"/>
  <c r="V12" i="1" s="1"/>
  <c r="U10" i="1"/>
  <c r="U11" i="1" s="1"/>
  <c r="T10" i="1"/>
  <c r="T12" i="1" s="1"/>
  <c r="V8" i="1"/>
  <c r="V9" i="1" s="1"/>
  <c r="U8" i="1"/>
  <c r="U9" i="1" s="1"/>
  <c r="T8" i="1"/>
  <c r="T9" i="1" s="1"/>
  <c r="G96" i="1" l="1"/>
  <c r="G90" i="1"/>
  <c r="G93" i="1"/>
  <c r="G100" i="1" s="1"/>
  <c r="G113" i="1"/>
  <c r="G116" i="1"/>
  <c r="G121" i="1"/>
  <c r="G92" i="1"/>
  <c r="G122" i="1"/>
  <c r="G95" i="1"/>
  <c r="G110" i="1"/>
  <c r="G47" i="1"/>
  <c r="G108" i="1"/>
  <c r="F76" i="1"/>
  <c r="F74" i="1"/>
  <c r="F72" i="1"/>
  <c r="F73" i="1" s="1"/>
  <c r="F79" i="1"/>
  <c r="T71" i="1"/>
  <c r="U71" i="1"/>
  <c r="U75" i="1" s="1"/>
  <c r="V28" i="1"/>
  <c r="V71" i="1"/>
  <c r="V75" i="1" s="1"/>
  <c r="V15" i="1"/>
  <c r="V125" i="1"/>
  <c r="U125" i="1"/>
  <c r="U15" i="1"/>
  <c r="T75" i="1"/>
  <c r="T142" i="1" s="1"/>
  <c r="T15" i="1"/>
  <c r="T125" i="1"/>
  <c r="U23" i="1"/>
  <c r="T23" i="1"/>
  <c r="V23" i="1"/>
  <c r="T11" i="1"/>
  <c r="V11" i="1"/>
  <c r="U12" i="1"/>
  <c r="J22" i="1"/>
  <c r="U79" i="1" l="1"/>
  <c r="U142" i="1"/>
  <c r="V79" i="1"/>
  <c r="V142" i="1"/>
  <c r="G112" i="1"/>
  <c r="G135" i="1"/>
  <c r="G136" i="1" s="1"/>
  <c r="G137" i="1"/>
  <c r="G138" i="1" s="1"/>
  <c r="G123" i="1"/>
  <c r="G114" i="1"/>
  <c r="G117" i="1"/>
  <c r="F87" i="1"/>
  <c r="F120" i="1" s="1"/>
  <c r="F83" i="1"/>
  <c r="F130" i="1" s="1"/>
  <c r="F86" i="1"/>
  <c r="F82" i="1"/>
  <c r="F85" i="1"/>
  <c r="F84" i="1"/>
  <c r="F141" i="1" s="1"/>
  <c r="T76" i="1"/>
  <c r="T79" i="1"/>
  <c r="V74" i="1"/>
  <c r="V72" i="1"/>
  <c r="V73" i="1" s="1"/>
  <c r="V76" i="1"/>
  <c r="V87" i="1" s="1"/>
  <c r="V120" i="1" s="1"/>
  <c r="U74" i="1"/>
  <c r="U72" i="1"/>
  <c r="U73" i="1" s="1"/>
  <c r="U76" i="1"/>
  <c r="U86" i="1" s="1"/>
  <c r="T74" i="1"/>
  <c r="T72" i="1"/>
  <c r="T73" i="1" s="1"/>
  <c r="T84" i="1"/>
  <c r="T141" i="1" s="1"/>
  <c r="T87" i="1"/>
  <c r="T120" i="1" s="1"/>
  <c r="T85" i="1"/>
  <c r="T110" i="1" s="1"/>
  <c r="T117" i="1" s="1"/>
  <c r="T83" i="1"/>
  <c r="T130" i="1" s="1"/>
  <c r="T82" i="1"/>
  <c r="T86" i="1"/>
  <c r="J126" i="1"/>
  <c r="J106" i="1"/>
  <c r="J104" i="1"/>
  <c r="J103" i="1"/>
  <c r="J99" i="1"/>
  <c r="J69" i="1"/>
  <c r="J66" i="1"/>
  <c r="J63" i="1"/>
  <c r="J60" i="1"/>
  <c r="J54" i="1"/>
  <c r="J55" i="1" s="1"/>
  <c r="J57" i="1" s="1"/>
  <c r="J42" i="1"/>
  <c r="J25" i="1"/>
  <c r="J10" i="1"/>
  <c r="J12" i="1" s="1"/>
  <c r="J8" i="1"/>
  <c r="J15" i="1" s="1"/>
  <c r="F109" i="1" l="1"/>
  <c r="F113" i="1" s="1"/>
  <c r="F93" i="1"/>
  <c r="F100" i="1" s="1"/>
  <c r="F96" i="1"/>
  <c r="F90" i="1"/>
  <c r="F121" i="1"/>
  <c r="F95" i="1"/>
  <c r="F92" i="1"/>
  <c r="F122" i="1"/>
  <c r="F47" i="1"/>
  <c r="F110" i="1"/>
  <c r="F108" i="1"/>
  <c r="F112" i="1" s="1"/>
  <c r="V86" i="1"/>
  <c r="V85" i="1"/>
  <c r="V83" i="1"/>
  <c r="V130" i="1" s="1"/>
  <c r="V84" i="1"/>
  <c r="V82" i="1"/>
  <c r="V122" i="1" s="1"/>
  <c r="V110" i="1"/>
  <c r="U83" i="1"/>
  <c r="U130" i="1" s="1"/>
  <c r="U85" i="1"/>
  <c r="U110" i="1" s="1"/>
  <c r="U82" i="1"/>
  <c r="U95" i="1" s="1"/>
  <c r="U84" i="1"/>
  <c r="U87" i="1"/>
  <c r="U120" i="1" s="1"/>
  <c r="U47" i="1"/>
  <c r="U92" i="1"/>
  <c r="U93" i="1"/>
  <c r="U100" i="1" s="1"/>
  <c r="T109" i="1"/>
  <c r="T116" i="1" s="1"/>
  <c r="T114" i="1"/>
  <c r="T95" i="1"/>
  <c r="T121" i="1"/>
  <c r="T122" i="1"/>
  <c r="T92" i="1"/>
  <c r="T47" i="1"/>
  <c r="T108" i="1"/>
  <c r="T112" i="1" s="1"/>
  <c r="T96" i="1"/>
  <c r="T90" i="1"/>
  <c r="T93" i="1"/>
  <c r="T100" i="1" s="1"/>
  <c r="J71" i="1"/>
  <c r="J75" i="1" s="1"/>
  <c r="J142" i="1" s="1"/>
  <c r="J28" i="1"/>
  <c r="J24" i="1"/>
  <c r="J9" i="1"/>
  <c r="J11" i="1"/>
  <c r="J23" i="1"/>
  <c r="J125" i="1"/>
  <c r="I126" i="1"/>
  <c r="I106" i="1"/>
  <c r="I104" i="1"/>
  <c r="I103" i="1"/>
  <c r="I99" i="1"/>
  <c r="I69" i="1"/>
  <c r="I66" i="1"/>
  <c r="I63" i="1"/>
  <c r="I60" i="1"/>
  <c r="I54" i="1"/>
  <c r="I55" i="1" s="1"/>
  <c r="I57" i="1" s="1"/>
  <c r="I42" i="1"/>
  <c r="I10" i="1"/>
  <c r="I11" i="1" s="1"/>
  <c r="I8" i="1"/>
  <c r="I15" i="1" s="1"/>
  <c r="I25" i="1"/>
  <c r="U96" i="1" l="1"/>
  <c r="U141" i="1"/>
  <c r="F116" i="1"/>
  <c r="V93" i="1"/>
  <c r="V100" i="1" s="1"/>
  <c r="V141" i="1"/>
  <c r="F123" i="1"/>
  <c r="F114" i="1"/>
  <c r="F117" i="1"/>
  <c r="U122" i="1"/>
  <c r="U109" i="1"/>
  <c r="U108" i="1"/>
  <c r="U112" i="1" s="1"/>
  <c r="V92" i="1"/>
  <c r="V121" i="1"/>
  <c r="V123" i="1" s="1"/>
  <c r="V95" i="1"/>
  <c r="V109" i="1"/>
  <c r="V113" i="1" s="1"/>
  <c r="V96" i="1"/>
  <c r="V90" i="1"/>
  <c r="V47" i="1"/>
  <c r="V108" i="1"/>
  <c r="V112" i="1" s="1"/>
  <c r="V114" i="1"/>
  <c r="V117" i="1"/>
  <c r="U90" i="1"/>
  <c r="U121" i="1"/>
  <c r="U123" i="1" s="1"/>
  <c r="U117" i="1"/>
  <c r="U114" i="1"/>
  <c r="T113" i="1"/>
  <c r="T123" i="1"/>
  <c r="J76" i="1"/>
  <c r="J86" i="1" s="1"/>
  <c r="J74" i="1"/>
  <c r="J72" i="1"/>
  <c r="J73" i="1" s="1"/>
  <c r="J79" i="1"/>
  <c r="I71" i="1"/>
  <c r="I75" i="1" s="1"/>
  <c r="I142" i="1" s="1"/>
  <c r="I125" i="1"/>
  <c r="I12" i="1"/>
  <c r="I9" i="1"/>
  <c r="I28" i="1"/>
  <c r="I24" i="1"/>
  <c r="I23" i="1"/>
  <c r="S126" i="1"/>
  <c r="S106" i="1"/>
  <c r="S104" i="1"/>
  <c r="S103" i="1"/>
  <c r="S99" i="1"/>
  <c r="S69" i="1"/>
  <c r="S66" i="1"/>
  <c r="S63" i="1"/>
  <c r="S60" i="1"/>
  <c r="S54" i="1"/>
  <c r="S55" i="1" s="1"/>
  <c r="S57" i="1" s="1"/>
  <c r="S42" i="1"/>
  <c r="S22" i="1"/>
  <c r="S25" i="1" s="1"/>
  <c r="S10" i="1"/>
  <c r="S12" i="1" s="1"/>
  <c r="S8" i="1"/>
  <c r="S15" i="1" s="1"/>
  <c r="U116" i="1" l="1"/>
  <c r="U113" i="1"/>
  <c r="V116" i="1"/>
  <c r="J85" i="1"/>
  <c r="J109" i="1" s="1"/>
  <c r="J87" i="1"/>
  <c r="J120" i="1" s="1"/>
  <c r="J83" i="1"/>
  <c r="J130" i="1" s="1"/>
  <c r="J82" i="1"/>
  <c r="J84" i="1"/>
  <c r="J141" i="1" s="1"/>
  <c r="S71" i="1"/>
  <c r="S75" i="1" s="1"/>
  <c r="I79" i="1"/>
  <c r="I76" i="1"/>
  <c r="I74" i="1"/>
  <c r="I72" i="1"/>
  <c r="I73" i="1" s="1"/>
  <c r="S28" i="1"/>
  <c r="S24" i="1"/>
  <c r="S9" i="1"/>
  <c r="S11" i="1"/>
  <c r="S23" i="1"/>
  <c r="S125" i="1"/>
  <c r="L126" i="1"/>
  <c r="L106" i="1"/>
  <c r="L104" i="1"/>
  <c r="L103" i="1"/>
  <c r="L99" i="1"/>
  <c r="L69" i="1"/>
  <c r="L66" i="1"/>
  <c r="L63" i="1"/>
  <c r="L60" i="1"/>
  <c r="L54" i="1"/>
  <c r="L55" i="1" s="1"/>
  <c r="L57" i="1" s="1"/>
  <c r="L42" i="1"/>
  <c r="L28" i="1"/>
  <c r="L24" i="1"/>
  <c r="L22" i="1"/>
  <c r="L10" i="1"/>
  <c r="L12" i="1" s="1"/>
  <c r="L8" i="1"/>
  <c r="L15" i="1" s="1"/>
  <c r="M126" i="1"/>
  <c r="M116" i="1"/>
  <c r="M106" i="1"/>
  <c r="M104" i="1"/>
  <c r="M103" i="1"/>
  <c r="M99" i="1"/>
  <c r="M69" i="1"/>
  <c r="M66" i="1"/>
  <c r="M63" i="1"/>
  <c r="M60" i="1"/>
  <c r="M54" i="1"/>
  <c r="M55" i="1" s="1"/>
  <c r="M57" i="1" s="1"/>
  <c r="M42" i="1"/>
  <c r="M28" i="1"/>
  <c r="M24" i="1"/>
  <c r="M22" i="1"/>
  <c r="M10" i="1"/>
  <c r="M12" i="1" s="1"/>
  <c r="M8" i="1"/>
  <c r="M15" i="1" s="1"/>
  <c r="S79" i="1" l="1"/>
  <c r="S142" i="1"/>
  <c r="M23" i="1"/>
  <c r="J95" i="1"/>
  <c r="J92" i="1"/>
  <c r="J122" i="1"/>
  <c r="J121" i="1"/>
  <c r="J96" i="1"/>
  <c r="J93" i="1"/>
  <c r="J100" i="1" s="1"/>
  <c r="J90" i="1"/>
  <c r="J47" i="1"/>
  <c r="J108" i="1"/>
  <c r="J112" i="1" s="1"/>
  <c r="J110" i="1"/>
  <c r="J116" i="1"/>
  <c r="J113" i="1"/>
  <c r="L71" i="1"/>
  <c r="L75" i="1" s="1"/>
  <c r="I85" i="1"/>
  <c r="I47" i="1" s="1"/>
  <c r="I86" i="1"/>
  <c r="I84" i="1"/>
  <c r="I141" i="1" s="1"/>
  <c r="I82" i="1"/>
  <c r="I87" i="1"/>
  <c r="I120" i="1" s="1"/>
  <c r="I83" i="1"/>
  <c r="I130" i="1" s="1"/>
  <c r="M125" i="1"/>
  <c r="L23" i="1"/>
  <c r="M9" i="1"/>
  <c r="M11" i="1"/>
  <c r="L9" i="1"/>
  <c r="L11" i="1"/>
  <c r="L125" i="1"/>
  <c r="S76" i="1"/>
  <c r="S74" i="1"/>
  <c r="S72" i="1"/>
  <c r="S73" i="1" s="1"/>
  <c r="M113" i="1"/>
  <c r="M71" i="1"/>
  <c r="M75" i="1" s="1"/>
  <c r="M142" i="1" s="1"/>
  <c r="N126" i="1"/>
  <c r="N106" i="1"/>
  <c r="N104" i="1"/>
  <c r="N103" i="1"/>
  <c r="N99" i="1"/>
  <c r="N69" i="1"/>
  <c r="N66" i="1"/>
  <c r="N63" i="1"/>
  <c r="N60" i="1"/>
  <c r="N54" i="1"/>
  <c r="N55" i="1" s="1"/>
  <c r="N57" i="1" s="1"/>
  <c r="N42" i="1"/>
  <c r="N28" i="1"/>
  <c r="N24" i="1"/>
  <c r="N22" i="1"/>
  <c r="N10" i="1"/>
  <c r="N12" i="1" s="1"/>
  <c r="N8" i="1"/>
  <c r="N9" i="1" s="1"/>
  <c r="L79" i="1" l="1"/>
  <c r="L142" i="1"/>
  <c r="J123" i="1"/>
  <c r="L74" i="1"/>
  <c r="J117" i="1"/>
  <c r="J114" i="1"/>
  <c r="L72" i="1"/>
  <c r="L73" i="1" s="1"/>
  <c r="L76" i="1"/>
  <c r="I109" i="1"/>
  <c r="I116" i="1" s="1"/>
  <c r="I95" i="1"/>
  <c r="I92" i="1"/>
  <c r="I122" i="1"/>
  <c r="I121" i="1"/>
  <c r="I96" i="1"/>
  <c r="I93" i="1"/>
  <c r="I100" i="1" s="1"/>
  <c r="I90" i="1"/>
  <c r="I108" i="1"/>
  <c r="I112" i="1" s="1"/>
  <c r="I110" i="1"/>
  <c r="M76" i="1"/>
  <c r="M85" i="1" s="1"/>
  <c r="M79" i="1"/>
  <c r="S87" i="1"/>
  <c r="S120" i="1" s="1"/>
  <c r="S85" i="1"/>
  <c r="S83" i="1"/>
  <c r="S130" i="1" s="1"/>
  <c r="S82" i="1"/>
  <c r="S84" i="1"/>
  <c r="S86" i="1"/>
  <c r="S109" i="1" s="1"/>
  <c r="L87" i="1"/>
  <c r="L120" i="1" s="1"/>
  <c r="L85" i="1"/>
  <c r="L83" i="1"/>
  <c r="L130" i="1" s="1"/>
  <c r="L86" i="1"/>
  <c r="L109" i="1" s="1"/>
  <c r="L84" i="1"/>
  <c r="L82" i="1"/>
  <c r="M74" i="1"/>
  <c r="M72" i="1"/>
  <c r="M73" i="1" s="1"/>
  <c r="M87" i="1"/>
  <c r="M120" i="1" s="1"/>
  <c r="M83" i="1"/>
  <c r="M130" i="1" s="1"/>
  <c r="M84" i="1"/>
  <c r="M82" i="1"/>
  <c r="N15" i="1"/>
  <c r="N23" i="1"/>
  <c r="N125" i="1"/>
  <c r="N71" i="1"/>
  <c r="N75" i="1" s="1"/>
  <c r="N11" i="1"/>
  <c r="R69" i="1"/>
  <c r="Q69" i="1"/>
  <c r="R66" i="1"/>
  <c r="Q66" i="1"/>
  <c r="R63" i="1"/>
  <c r="Q63" i="1"/>
  <c r="R60" i="1"/>
  <c r="Q60" i="1"/>
  <c r="R54" i="1"/>
  <c r="R55" i="1" s="1"/>
  <c r="R57" i="1" s="1"/>
  <c r="Q54" i="1"/>
  <c r="Q55" i="1" s="1"/>
  <c r="Q57" i="1" s="1"/>
  <c r="R126" i="1"/>
  <c r="Q126" i="1"/>
  <c r="R106" i="1"/>
  <c r="Q106" i="1"/>
  <c r="R104" i="1"/>
  <c r="Q104" i="1"/>
  <c r="R103" i="1"/>
  <c r="Q103" i="1"/>
  <c r="R99" i="1"/>
  <c r="Q99" i="1"/>
  <c r="R42" i="1"/>
  <c r="Q42" i="1"/>
  <c r="Q22" i="1"/>
  <c r="Q25" i="1" s="1"/>
  <c r="R10" i="1"/>
  <c r="R12" i="1" s="1"/>
  <c r="Q10" i="1"/>
  <c r="Q12" i="1" s="1"/>
  <c r="R8" i="1"/>
  <c r="R9" i="1" s="1"/>
  <c r="Q8" i="1"/>
  <c r="Q9" i="1" s="1"/>
  <c r="D113" i="1"/>
  <c r="P126" i="1"/>
  <c r="O126" i="1"/>
  <c r="K126" i="1"/>
  <c r="H126" i="1"/>
  <c r="E126" i="1"/>
  <c r="L90" i="1" l="1"/>
  <c r="L141" i="1"/>
  <c r="N79" i="1"/>
  <c r="N142" i="1"/>
  <c r="M90" i="1"/>
  <c r="M141" i="1"/>
  <c r="S90" i="1"/>
  <c r="S141" i="1"/>
  <c r="M86" i="1"/>
  <c r="I123" i="1"/>
  <c r="I113" i="1"/>
  <c r="I117" i="1"/>
  <c r="I114" i="1"/>
  <c r="M122" i="1"/>
  <c r="M121" i="1"/>
  <c r="M47" i="1"/>
  <c r="M108" i="1"/>
  <c r="M112" i="1" s="1"/>
  <c r="M110" i="1"/>
  <c r="S116" i="1"/>
  <c r="S113" i="1"/>
  <c r="S122" i="1"/>
  <c r="S95" i="1"/>
  <c r="S92" i="1"/>
  <c r="S121" i="1"/>
  <c r="S108" i="1"/>
  <c r="S112" i="1" s="1"/>
  <c r="S47" i="1"/>
  <c r="S110" i="1"/>
  <c r="S96" i="1"/>
  <c r="S93" i="1"/>
  <c r="S100" i="1" s="1"/>
  <c r="L122" i="1"/>
  <c r="L121" i="1"/>
  <c r="L123" i="1" s="1"/>
  <c r="L95" i="1"/>
  <c r="L92" i="1"/>
  <c r="L116" i="1"/>
  <c r="L113" i="1"/>
  <c r="L47" i="1"/>
  <c r="L108" i="1"/>
  <c r="L112" i="1" s="1"/>
  <c r="L110" i="1"/>
  <c r="L96" i="1"/>
  <c r="L93" i="1"/>
  <c r="L100" i="1" s="1"/>
  <c r="M95" i="1"/>
  <c r="M92" i="1"/>
  <c r="M96" i="1"/>
  <c r="M93" i="1"/>
  <c r="M100" i="1" s="1"/>
  <c r="N76" i="1"/>
  <c r="N74" i="1"/>
  <c r="N72" i="1"/>
  <c r="N73" i="1" s="1"/>
  <c r="R125" i="1"/>
  <c r="R15" i="1"/>
  <c r="R23" i="1"/>
  <c r="R25" i="1"/>
  <c r="Q71" i="1"/>
  <c r="Q75" i="1" s="1"/>
  <c r="Q142" i="1" s="1"/>
  <c r="Q28" i="1"/>
  <c r="Q24" i="1"/>
  <c r="Q15" i="1"/>
  <c r="Q23" i="1"/>
  <c r="Q125" i="1"/>
  <c r="R71" i="1"/>
  <c r="R75" i="1" s="1"/>
  <c r="Q11" i="1"/>
  <c r="R11" i="1"/>
  <c r="D126" i="1"/>
  <c r="R79" i="1" l="1"/>
  <c r="R142" i="1"/>
  <c r="Q74" i="1"/>
  <c r="Q79" i="1"/>
  <c r="M123" i="1"/>
  <c r="M117" i="1"/>
  <c r="M114" i="1"/>
  <c r="S123" i="1"/>
  <c r="S117" i="1"/>
  <c r="S114" i="1"/>
  <c r="L117" i="1"/>
  <c r="L114" i="1"/>
  <c r="N86" i="1"/>
  <c r="N84" i="1"/>
  <c r="N82" i="1"/>
  <c r="N87" i="1"/>
  <c r="N120" i="1" s="1"/>
  <c r="N85" i="1"/>
  <c r="N83" i="1"/>
  <c r="N130" i="1" s="1"/>
  <c r="R74" i="1"/>
  <c r="R72" i="1"/>
  <c r="R73" i="1" s="1"/>
  <c r="R76" i="1"/>
  <c r="R87" i="1" s="1"/>
  <c r="R120" i="1" s="1"/>
  <c r="Q72" i="1"/>
  <c r="Q73" i="1" s="1"/>
  <c r="Q76" i="1"/>
  <c r="R28" i="1"/>
  <c r="R24" i="1"/>
  <c r="P24" i="1"/>
  <c r="O24" i="1"/>
  <c r="K24" i="1"/>
  <c r="N90" i="1" l="1"/>
  <c r="N141" i="1"/>
  <c r="R82" i="1"/>
  <c r="R92" i="1" s="1"/>
  <c r="R83" i="1"/>
  <c r="R130" i="1" s="1"/>
  <c r="N47" i="1"/>
  <c r="N110" i="1"/>
  <c r="N108" i="1"/>
  <c r="N112" i="1" s="1"/>
  <c r="N121" i="1"/>
  <c r="N122" i="1"/>
  <c r="N109" i="1"/>
  <c r="N95" i="1"/>
  <c r="N92" i="1"/>
  <c r="N96" i="1"/>
  <c r="N93" i="1"/>
  <c r="N100" i="1" s="1"/>
  <c r="R85" i="1"/>
  <c r="R110" i="1" s="1"/>
  <c r="R114" i="1" s="1"/>
  <c r="R84" i="1"/>
  <c r="R141" i="1" s="1"/>
  <c r="Q87" i="1"/>
  <c r="Q120" i="1" s="1"/>
  <c r="Q85" i="1"/>
  <c r="Q83" i="1"/>
  <c r="Q130" i="1" s="1"/>
  <c r="Q86" i="1"/>
  <c r="Q84" i="1"/>
  <c r="Q82" i="1"/>
  <c r="R86" i="1"/>
  <c r="R96" i="1"/>
  <c r="D116" i="1"/>
  <c r="P106" i="1"/>
  <c r="O106" i="1"/>
  <c r="K106" i="1"/>
  <c r="P104" i="1"/>
  <c r="O104" i="1"/>
  <c r="K104" i="1"/>
  <c r="P103" i="1"/>
  <c r="O103" i="1"/>
  <c r="K103" i="1"/>
  <c r="P99" i="1"/>
  <c r="O99" i="1"/>
  <c r="K99" i="1"/>
  <c r="P69" i="1"/>
  <c r="O69" i="1"/>
  <c r="K69" i="1"/>
  <c r="P66" i="1"/>
  <c r="O66" i="1"/>
  <c r="K66" i="1"/>
  <c r="P63" i="1"/>
  <c r="O63" i="1"/>
  <c r="K63" i="1"/>
  <c r="P60" i="1"/>
  <c r="O60" i="1"/>
  <c r="K60" i="1"/>
  <c r="P54" i="1"/>
  <c r="P55" i="1" s="1"/>
  <c r="P57" i="1" s="1"/>
  <c r="O54" i="1"/>
  <c r="O55" i="1" s="1"/>
  <c r="O57" i="1" s="1"/>
  <c r="K54" i="1"/>
  <c r="K55" i="1" s="1"/>
  <c r="K57" i="1" s="1"/>
  <c r="P42" i="1"/>
  <c r="O42" i="1"/>
  <c r="K42" i="1"/>
  <c r="O28" i="1"/>
  <c r="K28" i="1"/>
  <c r="P22" i="1"/>
  <c r="O22" i="1"/>
  <c r="K22" i="1"/>
  <c r="O10" i="1"/>
  <c r="K10" i="1"/>
  <c r="P8" i="1"/>
  <c r="P9" i="1" s="1"/>
  <c r="O8" i="1"/>
  <c r="O9" i="1" s="1"/>
  <c r="K8" i="1"/>
  <c r="K9" i="1" s="1"/>
  <c r="D10" i="1"/>
  <c r="H104" i="1"/>
  <c r="E104" i="1"/>
  <c r="D104" i="1"/>
  <c r="Q90" i="1" l="1"/>
  <c r="Q141" i="1"/>
  <c r="R122" i="1"/>
  <c r="R95" i="1"/>
  <c r="R109" i="1"/>
  <c r="R116" i="1" s="1"/>
  <c r="Q109" i="1"/>
  <c r="Q113" i="1" s="1"/>
  <c r="R121" i="1"/>
  <c r="R108" i="1"/>
  <c r="R112" i="1" s="1"/>
  <c r="R117" i="1"/>
  <c r="R93" i="1"/>
  <c r="R100" i="1" s="1"/>
  <c r="R90" i="1"/>
  <c r="N123" i="1"/>
  <c r="N117" i="1"/>
  <c r="N114" i="1"/>
  <c r="N116" i="1"/>
  <c r="N113" i="1"/>
  <c r="R47" i="1"/>
  <c r="Q95" i="1"/>
  <c r="Q121" i="1"/>
  <c r="Q122" i="1"/>
  <c r="Q92" i="1"/>
  <c r="Q116" i="1"/>
  <c r="Q47" i="1"/>
  <c r="Q110" i="1"/>
  <c r="Q108" i="1"/>
  <c r="Q112" i="1" s="1"/>
  <c r="Q96" i="1"/>
  <c r="Q93" i="1"/>
  <c r="Q100" i="1" s="1"/>
  <c r="D12" i="1"/>
  <c r="D125" i="1"/>
  <c r="K11" i="1"/>
  <c r="K125" i="1"/>
  <c r="K12" i="1"/>
  <c r="P11" i="1"/>
  <c r="P125" i="1"/>
  <c r="P12" i="1"/>
  <c r="O11" i="1"/>
  <c r="O12" i="1"/>
  <c r="O125" i="1"/>
  <c r="K15" i="1"/>
  <c r="K71" i="1"/>
  <c r="K75" i="1" s="1"/>
  <c r="K142" i="1" s="1"/>
  <c r="K23" i="1"/>
  <c r="P71" i="1"/>
  <c r="P75" i="1" s="1"/>
  <c r="P142" i="1" s="1"/>
  <c r="O71" i="1"/>
  <c r="O75" i="1" s="1"/>
  <c r="P23" i="1"/>
  <c r="P15" i="1"/>
  <c r="O23" i="1"/>
  <c r="O15" i="1"/>
  <c r="H106" i="1"/>
  <c r="E106" i="1"/>
  <c r="D106" i="1"/>
  <c r="H103" i="1"/>
  <c r="E103" i="1"/>
  <c r="D103" i="1"/>
  <c r="D11" i="1"/>
  <c r="H99" i="1"/>
  <c r="E99" i="1"/>
  <c r="D99" i="1"/>
  <c r="O79" i="1" l="1"/>
  <c r="O142" i="1"/>
  <c r="R113" i="1"/>
  <c r="R123" i="1"/>
  <c r="P76" i="1"/>
  <c r="P87" i="1" s="1"/>
  <c r="P120" i="1" s="1"/>
  <c r="P79" i="1"/>
  <c r="K74" i="1"/>
  <c r="K79" i="1"/>
  <c r="K76" i="1"/>
  <c r="K87" i="1" s="1"/>
  <c r="K120" i="1" s="1"/>
  <c r="K72" i="1"/>
  <c r="K73" i="1" s="1"/>
  <c r="Q123" i="1"/>
  <c r="Q117" i="1"/>
  <c r="Q114" i="1"/>
  <c r="P74" i="1"/>
  <c r="P72" i="1"/>
  <c r="P73" i="1" s="1"/>
  <c r="O76" i="1"/>
  <c r="O72" i="1"/>
  <c r="O73" i="1" s="1"/>
  <c r="O74" i="1"/>
  <c r="H69" i="1"/>
  <c r="H66" i="1"/>
  <c r="H63" i="1"/>
  <c r="H60" i="1"/>
  <c r="H54" i="1"/>
  <c r="H55" i="1" s="1"/>
  <c r="H57" i="1" s="1"/>
  <c r="H42" i="1"/>
  <c r="H22" i="1"/>
  <c r="H25" i="1" s="1"/>
  <c r="H10" i="1"/>
  <c r="H8" i="1"/>
  <c r="H15" i="1" s="1"/>
  <c r="E66" i="1"/>
  <c r="D66" i="1"/>
  <c r="D69" i="1"/>
  <c r="D63" i="1"/>
  <c r="D60" i="1"/>
  <c r="D54" i="1"/>
  <c r="D55" i="1" s="1"/>
  <c r="D57" i="1" s="1"/>
  <c r="D42" i="1"/>
  <c r="D22" i="1"/>
  <c r="D25" i="1" s="1"/>
  <c r="D8" i="1"/>
  <c r="D9" i="1" s="1"/>
  <c r="K84" i="1" l="1"/>
  <c r="P84" i="1"/>
  <c r="P82" i="1"/>
  <c r="P121" i="1" s="1"/>
  <c r="P85" i="1"/>
  <c r="P108" i="1" s="1"/>
  <c r="P112" i="1" s="1"/>
  <c r="P83" i="1"/>
  <c r="P130" i="1" s="1"/>
  <c r="K86" i="1"/>
  <c r="K85" i="1"/>
  <c r="K47" i="1" s="1"/>
  <c r="K82" i="1"/>
  <c r="K121" i="1" s="1"/>
  <c r="K83" i="1"/>
  <c r="K130" i="1" s="1"/>
  <c r="H11" i="1"/>
  <c r="H12" i="1"/>
  <c r="H125" i="1"/>
  <c r="D24" i="1"/>
  <c r="H24" i="1"/>
  <c r="O84" i="1"/>
  <c r="O87" i="1"/>
  <c r="O120" i="1" s="1"/>
  <c r="O85" i="1"/>
  <c r="O83" i="1"/>
  <c r="O130" i="1" s="1"/>
  <c r="O82" i="1"/>
  <c r="O92" i="1" s="1"/>
  <c r="O86" i="1"/>
  <c r="K96" i="1"/>
  <c r="K93" i="1"/>
  <c r="K100" i="1" s="1"/>
  <c r="P96" i="1"/>
  <c r="P93" i="1"/>
  <c r="P100" i="1" s="1"/>
  <c r="D28" i="1"/>
  <c r="H71" i="1"/>
  <c r="H75" i="1" s="1"/>
  <c r="H142" i="1" s="1"/>
  <c r="H23" i="1"/>
  <c r="H9" i="1"/>
  <c r="D71" i="1"/>
  <c r="D75" i="1" s="1"/>
  <c r="D142" i="1" s="1"/>
  <c r="D15" i="1"/>
  <c r="D23" i="1"/>
  <c r="E54" i="1"/>
  <c r="E55" i="1" s="1"/>
  <c r="E57" i="1" s="1"/>
  <c r="E69" i="1"/>
  <c r="E63" i="1"/>
  <c r="E60" i="1"/>
  <c r="E42" i="1"/>
  <c r="E8" i="1"/>
  <c r="E22" i="1"/>
  <c r="E25" i="1" s="1"/>
  <c r="O93" i="1" l="1"/>
  <c r="O100" i="1" s="1"/>
  <c r="O141" i="1"/>
  <c r="P90" i="1"/>
  <c r="P141" i="1"/>
  <c r="K90" i="1"/>
  <c r="K141" i="1"/>
  <c r="P92" i="1"/>
  <c r="P47" i="1"/>
  <c r="O95" i="1"/>
  <c r="P122" i="1"/>
  <c r="K110" i="1"/>
  <c r="K117" i="1" s="1"/>
  <c r="O109" i="1"/>
  <c r="K108" i="1"/>
  <c r="K112" i="1" s="1"/>
  <c r="P95" i="1"/>
  <c r="P110" i="1"/>
  <c r="P114" i="1" s="1"/>
  <c r="H76" i="1"/>
  <c r="H87" i="1" s="1"/>
  <c r="H120" i="1" s="1"/>
  <c r="H79" i="1"/>
  <c r="D76" i="1"/>
  <c r="D79" i="1"/>
  <c r="O96" i="1"/>
  <c r="O90" i="1"/>
  <c r="K92" i="1"/>
  <c r="K122" i="1"/>
  <c r="K123" i="1" s="1"/>
  <c r="K95" i="1"/>
  <c r="K109" i="1"/>
  <c r="K113" i="1" s="1"/>
  <c r="E24" i="1"/>
  <c r="O113" i="1"/>
  <c r="O47" i="1"/>
  <c r="O108" i="1"/>
  <c r="O112" i="1" s="1"/>
  <c r="P123" i="1"/>
  <c r="H83" i="1"/>
  <c r="H130" i="1" s="1"/>
  <c r="O122" i="1"/>
  <c r="O121" i="1"/>
  <c r="O110" i="1"/>
  <c r="D85" i="1"/>
  <c r="D87" i="1"/>
  <c r="D120" i="1" s="1"/>
  <c r="E71" i="1"/>
  <c r="E75" i="1" s="1"/>
  <c r="E28" i="1"/>
  <c r="H74" i="1"/>
  <c r="H72" i="1"/>
  <c r="H73" i="1" s="1"/>
  <c r="H84" i="1"/>
  <c r="H28" i="1"/>
  <c r="H86" i="1" s="1"/>
  <c r="D74" i="1"/>
  <c r="D72" i="1"/>
  <c r="D73" i="1" s="1"/>
  <c r="D86" i="1"/>
  <c r="D83" i="1"/>
  <c r="D130" i="1" s="1"/>
  <c r="D84" i="1"/>
  <c r="D82" i="1"/>
  <c r="E23" i="1"/>
  <c r="E10" i="1"/>
  <c r="E9" i="1"/>
  <c r="D90" i="1" l="1"/>
  <c r="D141" i="1"/>
  <c r="H90" i="1"/>
  <c r="H141" i="1"/>
  <c r="E79" i="1"/>
  <c r="E142" i="1"/>
  <c r="P117" i="1"/>
  <c r="P113" i="1"/>
  <c r="P116" i="1"/>
  <c r="H85" i="1"/>
  <c r="H47" i="1" s="1"/>
  <c r="H82" i="1"/>
  <c r="H122" i="1" s="1"/>
  <c r="K114" i="1"/>
  <c r="H109" i="1"/>
  <c r="K116" i="1"/>
  <c r="O123" i="1"/>
  <c r="D108" i="1"/>
  <c r="D112" i="1" s="1"/>
  <c r="D47" i="1"/>
  <c r="O117" i="1"/>
  <c r="O114" i="1"/>
  <c r="O116" i="1"/>
  <c r="E11" i="1"/>
  <c r="E125" i="1"/>
  <c r="E12" i="1"/>
  <c r="H108" i="1"/>
  <c r="H112" i="1" s="1"/>
  <c r="H110" i="1"/>
  <c r="D121" i="1"/>
  <c r="D122" i="1"/>
  <c r="D110" i="1"/>
  <c r="H96" i="1"/>
  <c r="H93" i="1"/>
  <c r="H100" i="1" s="1"/>
  <c r="E76" i="1"/>
  <c r="E74" i="1"/>
  <c r="E72" i="1"/>
  <c r="E73" i="1" s="1"/>
  <c r="D96" i="1"/>
  <c r="D93" i="1"/>
  <c r="D100" i="1" s="1"/>
  <c r="D95" i="1"/>
  <c r="D92" i="1"/>
  <c r="E15" i="1"/>
  <c r="H92" i="1" l="1"/>
  <c r="H121" i="1"/>
  <c r="H95" i="1"/>
  <c r="D127" i="1"/>
  <c r="D123" i="1"/>
  <c r="H113" i="1"/>
  <c r="H116" i="1"/>
  <c r="H123" i="1"/>
  <c r="D117" i="1"/>
  <c r="D114" i="1"/>
  <c r="H117" i="1"/>
  <c r="H114" i="1"/>
  <c r="E84" i="1"/>
  <c r="E141" i="1" s="1"/>
  <c r="E87" i="1"/>
  <c r="E120" i="1" s="1"/>
  <c r="E85" i="1"/>
  <c r="E47" i="1" s="1"/>
  <c r="E83" i="1"/>
  <c r="E130" i="1" s="1"/>
  <c r="E82" i="1"/>
  <c r="E86" i="1"/>
  <c r="E109" i="1" l="1"/>
  <c r="E113" i="1" s="1"/>
  <c r="E96" i="1"/>
  <c r="E90" i="1"/>
  <c r="E108" i="1"/>
  <c r="E112" i="1" s="1"/>
  <c r="E93" i="1"/>
  <c r="E100" i="1" s="1"/>
  <c r="E110" i="1"/>
  <c r="E92" i="1"/>
  <c r="E121" i="1"/>
  <c r="E122" i="1"/>
  <c r="E95" i="1"/>
  <c r="E123" i="1" l="1"/>
  <c r="E116" i="1"/>
  <c r="E117" i="1"/>
  <c r="E114" i="1"/>
</calcChain>
</file>

<file path=xl/comments1.xml><?xml version="1.0" encoding="utf-8"?>
<comments xmlns="http://schemas.openxmlformats.org/spreadsheetml/2006/main">
  <authors>
    <author>Alex</author>
    <author>trec</author>
    <author>DNA7 X86</author>
    <author>Пользователь Windows</author>
  </authors>
  <commentList>
    <comment ref="V1" authorId="0" shapeId="0">
      <text>
        <r>
          <rPr>
            <b/>
            <sz val="9"/>
            <color indexed="81"/>
            <rFont val="Tahoma"/>
            <charset val="1"/>
          </rPr>
          <t>Креативный бомбардировщик</t>
        </r>
      </text>
    </comment>
    <comment ref="J4" authorId="1" shapeId="0">
      <text>
        <r>
          <rPr>
            <b/>
            <sz val="9"/>
            <color indexed="81"/>
            <rFont val="Tahoma"/>
            <charset val="1"/>
          </rPr>
          <t>trec:</t>
        </r>
        <r>
          <rPr>
            <sz val="9"/>
            <color indexed="81"/>
            <rFont val="Tahoma"/>
            <charset val="1"/>
          </rPr>
          <t xml:space="preserve">
с ПГО</t>
        </r>
      </text>
    </comment>
    <comment ref="R4" authorId="2" shapeId="0">
      <text>
        <r>
          <rPr>
            <sz val="9"/>
            <color indexed="81"/>
            <rFont val="Tahoma"/>
            <family val="2"/>
            <charset val="204"/>
          </rPr>
          <t>с ПГО и наплывом</t>
        </r>
      </text>
    </comment>
    <comment ref="K26" authorId="2" shapeId="0">
      <text>
        <r>
          <rPr>
            <sz val="9"/>
            <color indexed="81"/>
            <rFont val="Tahoma"/>
            <family val="2"/>
            <charset val="204"/>
          </rPr>
          <t xml:space="preserve">для расчёта вес дополнительного топлива разделен поровну
</t>
        </r>
      </text>
    </comment>
    <comment ref="E38" authorId="2" shapeId="0">
      <text>
        <r>
          <rPr>
            <sz val="9"/>
            <color indexed="81"/>
            <rFont val="Tahoma"/>
            <charset val="1"/>
          </rPr>
          <t>0.837 гр. * 150 патронов = 125 кг, звенья ленты - ?</t>
        </r>
      </text>
    </comment>
    <comment ref="D39" authorId="2" shapeId="0">
      <text>
        <r>
          <rPr>
            <sz val="9"/>
            <color indexed="81"/>
            <rFont val="Tahoma"/>
            <charset val="1"/>
          </rPr>
          <t>2 * 105 кг (Р-73) + 2 * 253 кг (Р-27) = 716 кг</t>
        </r>
      </text>
    </comment>
    <comment ref="E39" authorId="2" shapeId="0">
      <text>
        <r>
          <rPr>
            <sz val="9"/>
            <color indexed="81"/>
            <rFont val="Tahoma"/>
            <charset val="1"/>
          </rPr>
          <t>2 РВВ-МД + 4 РВВ-СД / 2 х 110 кг + 4 х 190 кг = 980 кг</t>
        </r>
      </text>
    </comment>
    <comment ref="D40" authorId="2" shapeId="0">
      <text>
        <r>
          <rPr>
            <sz val="9"/>
            <color indexed="81"/>
            <rFont val="Tahoma"/>
            <charset val="1"/>
          </rPr>
          <t>4 * 105 кг (Р-73) + 6 * 253 кг (Р-27) = 1938 кг</t>
        </r>
      </text>
    </comment>
    <comment ref="E40" authorId="2" shapeId="0">
      <text>
        <r>
          <rPr>
            <sz val="9"/>
            <color indexed="81"/>
            <rFont val="Tahoma"/>
            <charset val="1"/>
          </rPr>
          <t>2 К-МД (изд.300) + 4 К-БД (изд.810) / 2 х 75 + 4 х 700 кг = 2950 кг</t>
        </r>
      </text>
    </comment>
    <comment ref="F40" authorId="3" shapeId="0">
      <text>
        <r>
          <rPr>
            <sz val="9"/>
            <color indexed="81"/>
            <rFont val="Tahoma"/>
            <family val="2"/>
            <charset val="204"/>
          </rPr>
          <t>6 РВВ-СД (190 кг * 6 = 1140 кг) + 4 РВВ-МД (110 кг * 4 = 440 кг) = 1580 кг</t>
        </r>
      </text>
    </comment>
    <comment ref="G40" authorId="3" shapeId="0">
      <text>
        <r>
          <rPr>
            <sz val="9"/>
            <color indexed="81"/>
            <rFont val="Tahoma"/>
            <family val="2"/>
            <charset val="204"/>
          </rPr>
          <t>6 РВВ-СД (190 кг * 6 = 1140 кг) + 4 РВВ-МД (110 кг * 4 = 440 кг) = 1580 кг</t>
        </r>
      </text>
    </comment>
    <comment ref="P40" authorId="2" shapeId="0">
      <text>
        <r>
          <rPr>
            <sz val="9"/>
            <color indexed="81"/>
            <rFont val="Tahoma"/>
            <family val="2"/>
            <charset val="204"/>
          </rPr>
          <t>2 бомбы + 2 ур в отсеке</t>
        </r>
      </text>
    </comment>
    <comment ref="F41" authorId="3" shapeId="0">
      <text>
        <r>
          <rPr>
            <sz val="9"/>
            <color indexed="81"/>
            <rFont val="Tahoma"/>
            <charset val="1"/>
          </rPr>
          <t>6 АБ-500 + 4 АБ-500 = 5000 кг, плюс 4 подкрыльевых АКУ по 50 кг</t>
        </r>
      </text>
    </comment>
    <comment ref="G41" authorId="3" shapeId="0">
      <text>
        <r>
          <rPr>
            <sz val="9"/>
            <color indexed="81"/>
            <rFont val="Tahoma"/>
            <charset val="1"/>
          </rPr>
          <t>6 АБ-500 + 4 АБ-500 = 5000 кг, плюс 4 подкрыльевых АКУ по 50 кг</t>
        </r>
      </text>
    </comment>
    <comment ref="M61" authorId="2" shapeId="0">
      <text>
        <r>
          <rPr>
            <sz val="9"/>
            <color indexed="81"/>
            <rFont val="Tahoma"/>
            <family val="2"/>
            <charset val="204"/>
          </rPr>
          <t>фальшкили</t>
        </r>
      </text>
    </comment>
    <comment ref="M69" authorId="2" shapeId="0">
      <text>
        <r>
          <rPr>
            <sz val="9"/>
            <color indexed="81"/>
            <rFont val="Tahoma"/>
            <family val="2"/>
            <charset val="204"/>
          </rPr>
          <t>один киль</t>
        </r>
      </text>
    </comment>
  </commentList>
</comments>
</file>

<file path=xl/sharedStrings.xml><?xml version="1.0" encoding="utf-8"?>
<sst xmlns="http://schemas.openxmlformats.org/spreadsheetml/2006/main" count="309" uniqueCount="208">
  <si>
    <t>масса силовой установки</t>
  </si>
  <si>
    <t>относительная масса конструкции</t>
  </si>
  <si>
    <t>относительная масса оборудования</t>
  </si>
  <si>
    <t>масса служебной нагрузки</t>
  </si>
  <si>
    <t>кг</t>
  </si>
  <si>
    <t>кг/кв.м</t>
  </si>
  <si>
    <t>колличество двигателей</t>
  </si>
  <si>
    <t>шт.</t>
  </si>
  <si>
    <t>кгс</t>
  </si>
  <si>
    <t>площадь омываемой поверхности фюзел.</t>
  </si>
  <si>
    <t>кв.м</t>
  </si>
  <si>
    <t>удельный вес омыв.площади</t>
  </si>
  <si>
    <t>удельный вес плановой проекции</t>
  </si>
  <si>
    <t>площадь вертикального оперения</t>
  </si>
  <si>
    <t>вид сверху</t>
  </si>
  <si>
    <t>вид сбоку</t>
  </si>
  <si>
    <t>вид спереди</t>
  </si>
  <si>
    <t>объём</t>
  </si>
  <si>
    <t>куб.м</t>
  </si>
  <si>
    <t>омываемая поверхность</t>
  </si>
  <si>
    <t>объём отсеков нагрузки</t>
  </si>
  <si>
    <t>относительный объём отсеков</t>
  </si>
  <si>
    <t>Аэродинамической качество макс.</t>
  </si>
  <si>
    <t>площадь крыла макс.</t>
  </si>
  <si>
    <t>масса максимальной нагрузки</t>
  </si>
  <si>
    <t>топливная система</t>
  </si>
  <si>
    <t>объём топливной системы</t>
  </si>
  <si>
    <t>относительный объём топл.системы</t>
  </si>
  <si>
    <t>вес двигателя</t>
  </si>
  <si>
    <t>масса нормальной нагрузки В-В</t>
  </si>
  <si>
    <t>масса максимальной нагрузки В-В</t>
  </si>
  <si>
    <t>площадь одной консоли крыла</t>
  </si>
  <si>
    <t>площадь фюзеляжа</t>
  </si>
  <si>
    <t>объём фюзеляжа</t>
  </si>
  <si>
    <t>максимальный взлётный вес</t>
  </si>
  <si>
    <t>вес пустого</t>
  </si>
  <si>
    <t>относительная масса шасси</t>
  </si>
  <si>
    <t>вес снаряженного</t>
  </si>
  <si>
    <t>вес боекомплекта пушки</t>
  </si>
  <si>
    <t>вес взлётный</t>
  </si>
  <si>
    <t>нормальный В-В, 50% топлива</t>
  </si>
  <si>
    <t>максимальный В-В, 100% топлива</t>
  </si>
  <si>
    <t>форсажная тяга двигателя</t>
  </si>
  <si>
    <t>максимальная тяга двигателя</t>
  </si>
  <si>
    <t>расход топлива крейсерский</t>
  </si>
  <si>
    <t>вес топлива подвесных баках</t>
  </si>
  <si>
    <t>колличество подвесных баков</t>
  </si>
  <si>
    <t>шт</t>
  </si>
  <si>
    <t>вес топлива с ПТБ</t>
  </si>
  <si>
    <t>взлётная тяговооруженность норм.вес</t>
  </si>
  <si>
    <t>взлётная тяговооруженность макс.вес</t>
  </si>
  <si>
    <t>нагрузка на крыло норм.вес</t>
  </si>
  <si>
    <t>нагрузка на крыло макс.вес</t>
  </si>
  <si>
    <t>кгс/кг</t>
  </si>
  <si>
    <t>вес шасси</t>
  </si>
  <si>
    <t>вес оборудования</t>
  </si>
  <si>
    <t>вес планера без шасси</t>
  </si>
  <si>
    <t>Т-50</t>
  </si>
  <si>
    <t>Су-27</t>
  </si>
  <si>
    <t>площадь стабилизатора</t>
  </si>
  <si>
    <t>МиГ 1.42</t>
  </si>
  <si>
    <t>разное</t>
  </si>
  <si>
    <t>вес фюзеляжа</t>
  </si>
  <si>
    <t>вес консолей</t>
  </si>
  <si>
    <t>вес переднего горизонт. Оперения</t>
  </si>
  <si>
    <t>вес стабилизаторов</t>
  </si>
  <si>
    <t>вес килей</t>
  </si>
  <si>
    <t>вес планера с шасси</t>
  </si>
  <si>
    <t>км/ч</t>
  </si>
  <si>
    <t>коефициент изменения тяги</t>
  </si>
  <si>
    <t>расчётное число М</t>
  </si>
  <si>
    <t>км</t>
  </si>
  <si>
    <t>дозвуковая крейсерская скорость</t>
  </si>
  <si>
    <t>сверхзвуковая крейсерская скорость</t>
  </si>
  <si>
    <t>сверхзвуковая дальность полёта</t>
  </si>
  <si>
    <t>м/с</t>
  </si>
  <si>
    <t>расход топлива максимальный режим</t>
  </si>
  <si>
    <t>скорость на форсаже</t>
  </si>
  <si>
    <t>Аэродинамической качество сверхзвук</t>
  </si>
  <si>
    <t>F-15</t>
  </si>
  <si>
    <t>F-22</t>
  </si>
  <si>
    <t>М</t>
  </si>
  <si>
    <t>дозвуковое крейсерское число М</t>
  </si>
  <si>
    <t>дозвуковой радиус действия</t>
  </si>
  <si>
    <t>сверхзвуковой радиус действия</t>
  </si>
  <si>
    <t>перегоночный вес с ПТБ</t>
  </si>
  <si>
    <t>перегоночный вес без ПТБ</t>
  </si>
  <si>
    <t>дозвуковая дальность полёта с ПТБ</t>
  </si>
  <si>
    <t>дозвуковая дальность полёта без ПТБ</t>
  </si>
  <si>
    <t>скорость посадочная</t>
  </si>
  <si>
    <t>вес посадочный</t>
  </si>
  <si>
    <t>Су посадочный</t>
  </si>
  <si>
    <t>нагрузка на крыло посадочная</t>
  </si>
  <si>
    <t>кг/м2</t>
  </si>
  <si>
    <t>относительная масса топлива</t>
  </si>
  <si>
    <t>вес топлива 100%</t>
  </si>
  <si>
    <t>вес топлива 50%</t>
  </si>
  <si>
    <t>относительная масса расходуемых грузов</t>
  </si>
  <si>
    <t>Су крейсерский</t>
  </si>
  <si>
    <t>скоростной напор М=1</t>
  </si>
  <si>
    <t>скорость крейсерская</t>
  </si>
  <si>
    <t>Аэродинамическое качество крейсер.</t>
  </si>
  <si>
    <t>время полёта без ПТБ</t>
  </si>
  <si>
    <t>время полёта с ПТБ</t>
  </si>
  <si>
    <t>время полёта на сверхзвуке</t>
  </si>
  <si>
    <t>J-31</t>
  </si>
  <si>
    <t>J-20</t>
  </si>
  <si>
    <t>F-18A</t>
  </si>
  <si>
    <t>F-16</t>
  </si>
  <si>
    <t>F-14</t>
  </si>
  <si>
    <t>площадь фальшкилей + ПГО</t>
  </si>
  <si>
    <t>JH-X</t>
  </si>
  <si>
    <t>pilot</t>
  </si>
  <si>
    <t>wing area</t>
  </si>
  <si>
    <t>side view of the area</t>
  </si>
  <si>
    <t>area view from above</t>
  </si>
  <si>
    <t>front view of the area</t>
  </si>
  <si>
    <t>volume</t>
  </si>
  <si>
    <t>surface area</t>
  </si>
  <si>
    <t>fineness</t>
  </si>
  <si>
    <t>fineness supersonic</t>
  </si>
  <si>
    <t>cruising fineness</t>
  </si>
  <si>
    <t>volume bay weapons</t>
  </si>
  <si>
    <t>the relative volume of the bay</t>
  </si>
  <si>
    <t>fuel system</t>
  </si>
  <si>
    <t>fuel 50%</t>
  </si>
  <si>
    <t>fuel 100%</t>
  </si>
  <si>
    <t>fuel in the external fuel tanks</t>
  </si>
  <si>
    <t>Number of the external fuel tanks</t>
  </si>
  <si>
    <t>total weight of the fuel</t>
  </si>
  <si>
    <t>maximum engine thrust</t>
  </si>
  <si>
    <t>afterburner thrust of the engine</t>
  </si>
  <si>
    <t>fuel consumption</t>
  </si>
  <si>
    <t>engine weight</t>
  </si>
  <si>
    <t>Number of engines</t>
  </si>
  <si>
    <t>gun ammunition</t>
  </si>
  <si>
    <t>normal load</t>
  </si>
  <si>
    <t>maximum load</t>
  </si>
  <si>
    <t>propulsion weight</t>
  </si>
  <si>
    <t>the relative weight of the structure</t>
  </si>
  <si>
    <t>the relative weight of the chassis</t>
  </si>
  <si>
    <t>the relative weight of the equipment</t>
  </si>
  <si>
    <t>the relative weight of the fuel</t>
  </si>
  <si>
    <t>other</t>
  </si>
  <si>
    <t>fuselage</t>
  </si>
  <si>
    <t>specific gravity</t>
  </si>
  <si>
    <t>weight fuselage</t>
  </si>
  <si>
    <t>area of ​​one wing</t>
  </si>
  <si>
    <t>wing weight</t>
  </si>
  <si>
    <t>small tails area</t>
  </si>
  <si>
    <t>weight of the small tails</t>
  </si>
  <si>
    <t>tails</t>
  </si>
  <si>
    <t>weight of the tails</t>
  </si>
  <si>
    <t>vertical keel</t>
  </si>
  <si>
    <t>weight vertical keel</t>
  </si>
  <si>
    <t>structural weight without gear</t>
  </si>
  <si>
    <t>chassis Weight</t>
  </si>
  <si>
    <t>weight design with a chassis</t>
  </si>
  <si>
    <t>component weight</t>
  </si>
  <si>
    <t>empty Weight</t>
  </si>
  <si>
    <t>Curb weight</t>
  </si>
  <si>
    <t>take-off weight</t>
  </si>
  <si>
    <t>normal, 50% of the fuel</t>
  </si>
  <si>
    <t>maximum, 100% of the fuel</t>
  </si>
  <si>
    <t>maximum weight</t>
  </si>
  <si>
    <t>Ferry weight without external tanks</t>
  </si>
  <si>
    <t>Ferry weight with external fuel tanks</t>
  </si>
  <si>
    <t>landing weight</t>
  </si>
  <si>
    <t>normal weight, thrust</t>
  </si>
  <si>
    <t>maximum weight, thrust</t>
  </si>
  <si>
    <t>the normal load on the wing</t>
  </si>
  <si>
    <t>maximum load on the wing</t>
  </si>
  <si>
    <t>the estimated number of M</t>
  </si>
  <si>
    <t>full speed</t>
  </si>
  <si>
    <t>cruising speed</t>
  </si>
  <si>
    <t>supersonic cruising speed</t>
  </si>
  <si>
    <t>range without external tanks</t>
  </si>
  <si>
    <t>range with external fuel tanks</t>
  </si>
  <si>
    <t>supersonic flight range</t>
  </si>
  <si>
    <t>the flight without external tanks</t>
  </si>
  <si>
    <t>the flight with external fuel tanks</t>
  </si>
  <si>
    <t>Duration supersonic</t>
  </si>
  <si>
    <t>range, subsonic</t>
  </si>
  <si>
    <t>range, supersonic</t>
  </si>
  <si>
    <t>maximum load air to air</t>
  </si>
  <si>
    <t>заявленный вес пустого</t>
  </si>
  <si>
    <t>%</t>
  </si>
  <si>
    <t>разница реального и расчетного веса</t>
  </si>
  <si>
    <t>заявленный максимальный вес</t>
  </si>
  <si>
    <t>разница реального и расчётного веса</t>
  </si>
  <si>
    <t>МиГ 70.1</t>
  </si>
  <si>
    <t>С-45</t>
  </si>
  <si>
    <t>относительная масса нормальной нагрузки</t>
  </si>
  <si>
    <t>Ту-22М3</t>
  </si>
  <si>
    <t>Ту-160</t>
  </si>
  <si>
    <t>CB2015</t>
  </si>
  <si>
    <t>ч</t>
  </si>
  <si>
    <t>И-25А</t>
  </si>
  <si>
    <t>И-25В</t>
  </si>
  <si>
    <t>тяга вертикального взлёта</t>
  </si>
  <si>
    <t>вес при вертикальном взлёте</t>
  </si>
  <si>
    <t>дальность КВП</t>
  </si>
  <si>
    <t>дальность СВВП</t>
  </si>
  <si>
    <t>радиус КВП</t>
  </si>
  <si>
    <t>радиус СВВП</t>
  </si>
  <si>
    <t>F-35A</t>
  </si>
  <si>
    <t>относительная масса норм.нагрузки</t>
  </si>
  <si>
    <t>Як-141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</si>
</sst>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1212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5" borderId="0" applyNumberFormat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0" fillId="0" borderId="0" xfId="0" applyFill="1"/>
    <xf numFmtId="0" fontId="0" fillId="4" borderId="0" xfId="0" applyFill="1"/>
    <xf numFmtId="164" fontId="0" fillId="4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164" fontId="0" fillId="3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/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164" fontId="7" fillId="3" borderId="0" xfId="0" applyNumberFormat="1" applyFont="1" applyFill="1" applyAlignment="1" applyProtection="1">
      <alignment horizontal="right" vertical="center" shrinkToFit="1"/>
      <protection locked="0"/>
    </xf>
    <xf numFmtId="164" fontId="0" fillId="2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164" fontId="6" fillId="6" borderId="0" xfId="0" applyNumberFormat="1" applyFont="1" applyFill="1" applyAlignment="1">
      <alignment horizontal="center" vertical="center"/>
    </xf>
    <xf numFmtId="0" fontId="6" fillId="6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64" fontId="0" fillId="4" borderId="0" xfId="0" applyNumberFormat="1" applyFill="1" applyAlignment="1"/>
    <xf numFmtId="0" fontId="0" fillId="0" borderId="0" xfId="0" applyAlignment="1"/>
    <xf numFmtId="164" fontId="0" fillId="0" borderId="0" xfId="0" applyNumberFormat="1" applyAlignment="1"/>
    <xf numFmtId="164" fontId="0" fillId="3" borderId="0" xfId="0" applyNumberFormat="1" applyFill="1" applyAlignment="1"/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Alignment="1"/>
    <xf numFmtId="164" fontId="0" fillId="0" borderId="0" xfId="0" applyNumberFormat="1" applyAlignment="1">
      <alignment horizontal="right"/>
    </xf>
    <xf numFmtId="164" fontId="1" fillId="3" borderId="0" xfId="0" applyNumberFormat="1" applyFont="1" applyFill="1" applyAlignment="1" applyProtection="1">
      <alignment horizontal="right" vertical="center" shrinkToFit="1"/>
      <protection locked="0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/>
    <xf numFmtId="0" fontId="0" fillId="0" borderId="0" xfId="0" applyFill="1" applyAlignment="1"/>
    <xf numFmtId="164" fontId="5" fillId="0" borderId="0" xfId="1" applyNumberFormat="1" applyFill="1" applyAlignment="1"/>
    <xf numFmtId="164" fontId="1" fillId="0" borderId="0" xfId="0" applyNumberFormat="1" applyFont="1" applyFill="1" applyAlignment="1"/>
    <xf numFmtId="164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4" fontId="0" fillId="3" borderId="0" xfId="0" applyNumberFormat="1" applyFont="1" applyFill="1" applyAlignment="1"/>
    <xf numFmtId="164" fontId="0" fillId="2" borderId="0" xfId="0" applyNumberFormat="1" applyFont="1" applyFill="1" applyAlignment="1">
      <alignment horizontal="right"/>
    </xf>
    <xf numFmtId="164" fontId="5" fillId="5" borderId="0" xfId="1" applyNumberFormat="1" applyAlignment="1"/>
    <xf numFmtId="0" fontId="0" fillId="4" borderId="0" xfId="0" applyFill="1" applyAlignment="1"/>
    <xf numFmtId="0" fontId="0" fillId="3" borderId="0" xfId="0" applyFill="1" applyAlignment="1"/>
    <xf numFmtId="0" fontId="0" fillId="2" borderId="0" xfId="0" applyFill="1" applyAlignment="1"/>
    <xf numFmtId="2" fontId="1" fillId="3" borderId="0" xfId="0" applyNumberFormat="1" applyFont="1" applyFill="1" applyAlignment="1" applyProtection="1">
      <alignment horizontal="right" vertical="center" shrinkToFit="1"/>
      <protection locked="0"/>
    </xf>
    <xf numFmtId="2" fontId="1" fillId="3" borderId="0" xfId="0" applyNumberFormat="1" applyFont="1" applyFill="1" applyAlignment="1" applyProtection="1">
      <alignment horizontal="right" vertical="center" shrinkToFit="1" readingOrder="1"/>
      <protection locked="0"/>
    </xf>
    <xf numFmtId="164" fontId="1" fillId="3" borderId="0" xfId="0" applyNumberFormat="1" applyFont="1" applyFill="1" applyAlignment="1" applyProtection="1">
      <alignment horizontal="right" vertical="center" shrinkToFit="1" readingOrder="1"/>
      <protection locked="0"/>
    </xf>
    <xf numFmtId="164" fontId="1" fillId="2" borderId="0" xfId="0" applyNumberFormat="1" applyFont="1" applyFill="1" applyAlignment="1" applyProtection="1">
      <alignment horizontal="right" vertical="center" shrinkToFit="1"/>
      <protection locked="0"/>
    </xf>
    <xf numFmtId="164" fontId="0" fillId="0" borderId="0" xfId="0" applyNumberFormat="1" applyFont="1" applyAlignment="1"/>
    <xf numFmtId="164" fontId="5" fillId="5" borderId="0" xfId="1" applyNumberFormat="1" applyAlignment="1">
      <alignment horizontal="right" vertical="center"/>
    </xf>
    <xf numFmtId="164" fontId="5" fillId="2" borderId="0" xfId="1" applyNumberFormat="1" applyFill="1" applyAlignment="1"/>
    <xf numFmtId="0" fontId="5" fillId="5" borderId="0" xfId="1"/>
    <xf numFmtId="0" fontId="6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0" borderId="0" xfId="0" applyFont="1" applyAlignment="1"/>
    <xf numFmtId="0" fontId="9" fillId="0" borderId="0" xfId="0" applyFont="1" applyFill="1" applyAlignment="1"/>
    <xf numFmtId="0" fontId="10" fillId="0" borderId="0" xfId="0" applyFont="1"/>
    <xf numFmtId="0" fontId="9" fillId="0" borderId="0" xfId="0" applyFont="1" applyFill="1"/>
    <xf numFmtId="0" fontId="11" fillId="0" borderId="0" xfId="0" applyFont="1" applyFill="1" applyAlignment="1">
      <alignment horizontal="left" vertical="top" readingOrder="1"/>
    </xf>
    <xf numFmtId="164" fontId="1" fillId="2" borderId="0" xfId="1" applyNumberFormat="1" applyFont="1" applyFill="1" applyAlignment="1">
      <alignment horizontal="right" vertical="center"/>
    </xf>
    <xf numFmtId="0" fontId="1" fillId="2" borderId="0" xfId="0" applyFont="1" applyFill="1"/>
    <xf numFmtId="0" fontId="0" fillId="8" borderId="0" xfId="0" applyFill="1"/>
    <xf numFmtId="164" fontId="0" fillId="8" borderId="0" xfId="0" applyNumberFormat="1" applyFill="1" applyAlignment="1"/>
    <xf numFmtId="0" fontId="0" fillId="3" borderId="0" xfId="0" applyFill="1"/>
    <xf numFmtId="164" fontId="1" fillId="2" borderId="0" xfId="1" applyNumberFormat="1" applyFont="1" applyFill="1" applyAlignment="1"/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82"/>
  <sheetViews>
    <sheetView tabSelected="1" zoomScale="90" zoomScaleNormal="90" workbookViewId="0">
      <pane xSplit="2" ySplit="1" topLeftCell="C88" activePane="bottomRight" state="frozen"/>
      <selection pane="topRight" activeCell="C1" sqref="C1"/>
      <selection pane="bottomLeft" activeCell="A2" sqref="A2"/>
      <selection pane="bottomRight" activeCell="C43" sqref="C43"/>
    </sheetView>
  </sheetViews>
  <sheetFormatPr defaultRowHeight="15.75" x14ac:dyDescent="0.25"/>
  <cols>
    <col min="1" max="1" width="39" customWidth="1"/>
    <col min="2" max="2" width="9.7109375" customWidth="1"/>
    <col min="3" max="3" width="13.5703125" customWidth="1"/>
    <col min="4" max="4" width="11.5703125" style="33" bestFit="1" customWidth="1"/>
    <col min="5" max="7" width="11.85546875" style="33" customWidth="1"/>
    <col min="8" max="8" width="11.5703125" style="7" customWidth="1"/>
    <col min="9" max="9" width="11.140625" style="7" customWidth="1"/>
    <col min="10" max="10" width="11.28515625" style="7" customWidth="1"/>
    <col min="11" max="11" width="15.140625" style="16" customWidth="1"/>
    <col min="12" max="12" width="13.85546875" style="16" customWidth="1"/>
    <col min="13" max="13" width="12.140625" style="19" customWidth="1"/>
    <col min="14" max="14" width="12.140625" style="16" customWidth="1"/>
    <col min="15" max="15" width="12.85546875" style="16" customWidth="1"/>
    <col min="16" max="16" width="12.140625" style="16" customWidth="1"/>
    <col min="17" max="18" width="14.7109375" style="32" customWidth="1"/>
    <col min="19" max="19" width="15.7109375" style="32" customWidth="1"/>
    <col min="20" max="20" width="12.7109375" style="32" customWidth="1"/>
    <col min="21" max="21" width="12.5703125" style="32" customWidth="1"/>
    <col min="22" max="22" width="14.85546875" style="32" customWidth="1"/>
    <col min="23" max="23" width="35" style="63" customWidth="1"/>
    <col min="24" max="28" width="9.140625" style="32"/>
  </cols>
  <sheetData>
    <row r="1" spans="1:23" s="13" customFormat="1" ht="21" customHeight="1" x14ac:dyDescent="0.25">
      <c r="A1" s="27"/>
      <c r="B1" s="27"/>
      <c r="C1" s="30" t="s">
        <v>207</v>
      </c>
      <c r="D1" s="28" t="s">
        <v>58</v>
      </c>
      <c r="E1" s="28" t="s">
        <v>57</v>
      </c>
      <c r="F1" s="28" t="s">
        <v>197</v>
      </c>
      <c r="G1" s="28" t="s">
        <v>198</v>
      </c>
      <c r="H1" s="29" t="s">
        <v>60</v>
      </c>
      <c r="I1" s="29" t="s">
        <v>190</v>
      </c>
      <c r="J1" s="29" t="s">
        <v>191</v>
      </c>
      <c r="K1" s="30" t="s">
        <v>79</v>
      </c>
      <c r="L1" s="30" t="s">
        <v>109</v>
      </c>
      <c r="M1" s="30" t="s">
        <v>108</v>
      </c>
      <c r="N1" s="30" t="s">
        <v>107</v>
      </c>
      <c r="O1" s="30" t="s">
        <v>80</v>
      </c>
      <c r="P1" s="30" t="s">
        <v>205</v>
      </c>
      <c r="Q1" s="30" t="s">
        <v>105</v>
      </c>
      <c r="R1" s="30" t="s">
        <v>106</v>
      </c>
      <c r="S1" s="61" t="s">
        <v>111</v>
      </c>
      <c r="T1" s="61" t="s">
        <v>193</v>
      </c>
      <c r="U1" s="61" t="s">
        <v>194</v>
      </c>
      <c r="V1" s="61" t="s">
        <v>195</v>
      </c>
      <c r="W1" s="62"/>
    </row>
    <row r="2" spans="1:23" ht="21" customHeight="1" x14ac:dyDescent="0.25">
      <c r="A2" s="5"/>
      <c r="B2" s="5"/>
      <c r="C2" s="5"/>
      <c r="D2" s="31"/>
      <c r="E2" s="31"/>
      <c r="F2" s="31"/>
      <c r="G2" s="31"/>
      <c r="H2" s="6"/>
      <c r="I2" s="6"/>
      <c r="J2" s="6"/>
      <c r="K2" s="18"/>
      <c r="L2" s="18"/>
      <c r="M2" s="18"/>
      <c r="N2" s="18"/>
      <c r="O2" s="18"/>
      <c r="P2" s="18"/>
      <c r="Q2" s="50"/>
      <c r="R2" s="50"/>
      <c r="S2" s="50"/>
      <c r="T2" s="50"/>
      <c r="U2" s="50"/>
      <c r="V2" s="50"/>
    </row>
    <row r="3" spans="1:23" ht="15" customHeight="1" x14ac:dyDescent="0.25">
      <c r="K3" s="19"/>
      <c r="L3" s="19"/>
      <c r="N3" s="19"/>
      <c r="O3" s="19"/>
      <c r="P3" s="19"/>
    </row>
    <row r="4" spans="1:23" ht="15" customHeight="1" x14ac:dyDescent="0.25">
      <c r="A4" t="s">
        <v>23</v>
      </c>
      <c r="B4" t="s">
        <v>10</v>
      </c>
      <c r="C4" s="72">
        <v>31.7</v>
      </c>
      <c r="D4" s="34">
        <v>60.8</v>
      </c>
      <c r="E4" s="34">
        <v>82</v>
      </c>
      <c r="F4" s="34">
        <v>39</v>
      </c>
      <c r="G4" s="34">
        <v>39</v>
      </c>
      <c r="H4" s="34">
        <v>103</v>
      </c>
      <c r="I4" s="34">
        <v>130</v>
      </c>
      <c r="J4" s="34">
        <v>53</v>
      </c>
      <c r="K4" s="20">
        <v>56.6</v>
      </c>
      <c r="L4" s="20">
        <v>68.5</v>
      </c>
      <c r="M4" s="20">
        <v>27.87</v>
      </c>
      <c r="N4" s="20">
        <v>37.159999999999997</v>
      </c>
      <c r="O4" s="21">
        <v>78.040000000000006</v>
      </c>
      <c r="P4" s="21">
        <v>42.74</v>
      </c>
      <c r="Q4" s="51">
        <v>50.5</v>
      </c>
      <c r="R4" s="20">
        <v>81</v>
      </c>
      <c r="S4" s="20">
        <v>144.5</v>
      </c>
      <c r="T4" s="20">
        <v>183.58</v>
      </c>
      <c r="U4" s="20">
        <v>232</v>
      </c>
      <c r="V4" s="20">
        <v>280</v>
      </c>
      <c r="W4" s="63" t="s">
        <v>113</v>
      </c>
    </row>
    <row r="5" spans="1:23" ht="15" customHeight="1" x14ac:dyDescent="0.25">
      <c r="A5" t="s">
        <v>14</v>
      </c>
      <c r="B5" t="s">
        <v>10</v>
      </c>
      <c r="C5" s="72">
        <v>60.23</v>
      </c>
      <c r="D5" s="34">
        <v>110</v>
      </c>
      <c r="E5" s="34">
        <v>115.6</v>
      </c>
      <c r="F5" s="34">
        <v>61</v>
      </c>
      <c r="G5" s="34">
        <v>61</v>
      </c>
      <c r="H5" s="34">
        <v>135</v>
      </c>
      <c r="I5" s="34">
        <v>195.2</v>
      </c>
      <c r="J5" s="34">
        <v>106</v>
      </c>
      <c r="K5" s="21">
        <v>90.7</v>
      </c>
      <c r="L5" s="21">
        <v>117</v>
      </c>
      <c r="M5" s="21">
        <v>50</v>
      </c>
      <c r="N5" s="55">
        <v>69</v>
      </c>
      <c r="O5" s="21">
        <v>110.65</v>
      </c>
      <c r="P5" s="21">
        <v>71.5</v>
      </c>
      <c r="Q5" s="54">
        <v>82</v>
      </c>
      <c r="R5" s="53">
        <v>109</v>
      </c>
      <c r="S5" s="53">
        <v>254</v>
      </c>
      <c r="T5" s="53">
        <v>306.2</v>
      </c>
      <c r="U5" s="53">
        <v>574</v>
      </c>
      <c r="V5" s="53">
        <v>387</v>
      </c>
      <c r="W5" s="63" t="s">
        <v>115</v>
      </c>
    </row>
    <row r="6" spans="1:23" ht="15" customHeight="1" x14ac:dyDescent="0.25">
      <c r="A6" t="s">
        <v>15</v>
      </c>
      <c r="B6" t="s">
        <v>10</v>
      </c>
      <c r="C6" s="72">
        <v>30.9</v>
      </c>
      <c r="D6" s="34">
        <v>38.119999999999997</v>
      </c>
      <c r="E6" s="34">
        <v>28.03</v>
      </c>
      <c r="F6" s="34">
        <v>18</v>
      </c>
      <c r="G6" s="34">
        <v>18</v>
      </c>
      <c r="H6" s="34">
        <v>42.51</v>
      </c>
      <c r="I6" s="34">
        <v>68.33</v>
      </c>
      <c r="J6" s="34">
        <v>34</v>
      </c>
      <c r="K6" s="21">
        <v>31.26</v>
      </c>
      <c r="L6" s="21">
        <v>37.4</v>
      </c>
      <c r="M6" s="21">
        <v>24.4</v>
      </c>
      <c r="N6" s="55">
        <v>28.1</v>
      </c>
      <c r="O6" s="21">
        <v>34</v>
      </c>
      <c r="P6" s="21">
        <v>26.86</v>
      </c>
      <c r="Q6" s="54">
        <v>25</v>
      </c>
      <c r="R6" s="53">
        <v>33.65</v>
      </c>
      <c r="S6" s="53">
        <v>60</v>
      </c>
      <c r="T6" s="53">
        <v>137.19999999999999</v>
      </c>
      <c r="U6" s="53">
        <v>183.3</v>
      </c>
      <c r="V6" s="53">
        <v>109.65</v>
      </c>
      <c r="W6" s="63" t="s">
        <v>114</v>
      </c>
    </row>
    <row r="7" spans="1:23" ht="15" customHeight="1" x14ac:dyDescent="0.25">
      <c r="A7" t="s">
        <v>16</v>
      </c>
      <c r="B7" t="s">
        <v>10</v>
      </c>
      <c r="C7" s="72">
        <v>6.91</v>
      </c>
      <c r="D7" s="34">
        <v>9.5399999999999991</v>
      </c>
      <c r="E7" s="34">
        <v>8.5</v>
      </c>
      <c r="F7" s="34">
        <v>5.0599999999999996</v>
      </c>
      <c r="G7" s="34">
        <v>5.0599999999999996</v>
      </c>
      <c r="H7" s="34">
        <v>11.1</v>
      </c>
      <c r="I7" s="34">
        <v>17</v>
      </c>
      <c r="J7" s="34">
        <v>8.6999999999999993</v>
      </c>
      <c r="K7" s="21">
        <v>9.76</v>
      </c>
      <c r="L7" s="21">
        <v>12.8</v>
      </c>
      <c r="M7" s="21">
        <v>4.25</v>
      </c>
      <c r="N7" s="55">
        <v>6.7</v>
      </c>
      <c r="O7" s="21">
        <v>9.25</v>
      </c>
      <c r="P7" s="21">
        <v>8.1199999999999992</v>
      </c>
      <c r="Q7" s="54">
        <v>7.9</v>
      </c>
      <c r="R7" s="53">
        <v>8.9</v>
      </c>
      <c r="S7" s="53">
        <v>18.11</v>
      </c>
      <c r="T7" s="53">
        <v>31</v>
      </c>
      <c r="U7" s="53">
        <v>58</v>
      </c>
      <c r="V7" s="53">
        <v>19.399999999999999</v>
      </c>
      <c r="W7" s="64" t="s">
        <v>116</v>
      </c>
    </row>
    <row r="8" spans="1:23" ht="15" customHeight="1" x14ac:dyDescent="0.25">
      <c r="A8" t="s">
        <v>17</v>
      </c>
      <c r="B8" t="s">
        <v>18</v>
      </c>
      <c r="C8" s="56">
        <f t="shared" ref="C8" si="0">(POWER(C5*C6*C7,1/3))*2</f>
        <v>46.857573201870373</v>
      </c>
      <c r="D8" s="56">
        <f t="shared" ref="D8:J8" si="1">(POWER(D5*D6*D7,1/3))*2</f>
        <v>68.400820755515127</v>
      </c>
      <c r="E8" s="56">
        <f t="shared" si="1"/>
        <v>60.399027804768906</v>
      </c>
      <c r="F8" s="56">
        <f t="shared" si="1"/>
        <v>35.422641840002491</v>
      </c>
      <c r="G8" s="56">
        <f t="shared" ref="G8" si="2">(POWER(G5*G6*G7,1/3))*2</f>
        <v>35.422641840002491</v>
      </c>
      <c r="H8" s="56">
        <f t="shared" si="1"/>
        <v>79.875320371656912</v>
      </c>
      <c r="I8" s="56">
        <f t="shared" si="1"/>
        <v>121.9579308501918</v>
      </c>
      <c r="J8" s="56">
        <f t="shared" si="1"/>
        <v>63.066395106801089</v>
      </c>
      <c r="K8" s="56">
        <f t="shared" ref="K8:P8" si="3">(POWER(K5*K6*K7,1/3))*2</f>
        <v>60.493960971786109</v>
      </c>
      <c r="L8" s="56">
        <f t="shared" ref="L8" si="4">(POWER(L5*L6*L7,1/3))*2</f>
        <v>76.521910935055615</v>
      </c>
      <c r="M8" s="56">
        <f t="shared" ref="M8" si="5">(POWER(M5*M6*M7,1/3))*2</f>
        <v>34.616215238061443</v>
      </c>
      <c r="N8" s="56">
        <f t="shared" ref="N8" si="6">(POWER(N5*N6*N7,1/3))*2</f>
        <v>47.015392574171457</v>
      </c>
      <c r="O8" s="56">
        <f t="shared" si="3"/>
        <v>65.296116408224563</v>
      </c>
      <c r="P8" s="56">
        <f t="shared" si="3"/>
        <v>49.967316026479416</v>
      </c>
      <c r="Q8" s="56">
        <f t="shared" ref="Q8:R8" si="7">(POWER(Q5*Q6*Q7,1/3))*2</f>
        <v>50.600753007900664</v>
      </c>
      <c r="R8" s="56">
        <f t="shared" si="7"/>
        <v>63.919080674308155</v>
      </c>
      <c r="S8" s="56">
        <f t="shared" ref="S8:V8" si="8">(POWER(S5*S6*S7,1/3))*2</f>
        <v>130.21603526893034</v>
      </c>
      <c r="T8" s="56">
        <f t="shared" si="8"/>
        <v>218.40889729258404</v>
      </c>
      <c r="U8" s="56">
        <f t="shared" si="8"/>
        <v>365.4804177439056</v>
      </c>
      <c r="V8" s="56">
        <f t="shared" si="8"/>
        <v>187.44352347051657</v>
      </c>
      <c r="W8" s="65" t="s">
        <v>117</v>
      </c>
    </row>
    <row r="9" spans="1:23" ht="15" customHeight="1" x14ac:dyDescent="0.25">
      <c r="A9" t="s">
        <v>19</v>
      </c>
      <c r="B9" t="s">
        <v>10</v>
      </c>
      <c r="C9" s="35">
        <f t="shared" ref="C9" si="9">C8/0.2</f>
        <v>234.28786600935186</v>
      </c>
      <c r="D9" s="35">
        <f t="shared" ref="D9:J9" si="10">D8/0.2</f>
        <v>342.00410377757561</v>
      </c>
      <c r="E9" s="35">
        <f t="shared" si="10"/>
        <v>301.9951390238445</v>
      </c>
      <c r="F9" s="35">
        <f t="shared" si="10"/>
        <v>177.11320920001245</v>
      </c>
      <c r="G9" s="35">
        <f t="shared" ref="G9" si="11">G8/0.2</f>
        <v>177.11320920001245</v>
      </c>
      <c r="H9" s="35">
        <f t="shared" si="10"/>
        <v>399.37660185828452</v>
      </c>
      <c r="I9" s="35">
        <f t="shared" si="10"/>
        <v>609.78965425095896</v>
      </c>
      <c r="J9" s="35">
        <f t="shared" si="10"/>
        <v>315.33197553400544</v>
      </c>
      <c r="K9" s="22">
        <f t="shared" ref="K9:P9" si="12">K8/0.2</f>
        <v>302.4698048589305</v>
      </c>
      <c r="L9" s="22">
        <f t="shared" ref="L9" si="13">L8/0.2</f>
        <v>382.60955467527805</v>
      </c>
      <c r="M9" s="22">
        <f t="shared" ref="M9" si="14">M8/0.2</f>
        <v>173.08107619030721</v>
      </c>
      <c r="N9" s="22">
        <f t="shared" ref="N9" si="15">N8/0.2</f>
        <v>235.07696287085727</v>
      </c>
      <c r="O9" s="22">
        <f t="shared" si="12"/>
        <v>326.48058204112277</v>
      </c>
      <c r="P9" s="22">
        <f t="shared" si="12"/>
        <v>249.83658013239707</v>
      </c>
      <c r="Q9" s="22">
        <f t="shared" ref="Q9:R9" si="16">Q8/0.2</f>
        <v>253.00376503950332</v>
      </c>
      <c r="R9" s="22">
        <f t="shared" si="16"/>
        <v>319.59540337154078</v>
      </c>
      <c r="S9" s="22">
        <f t="shared" ref="S9:V9" si="17">S8/0.2</f>
        <v>651.0801763446517</v>
      </c>
      <c r="T9" s="22">
        <f t="shared" si="17"/>
        <v>1092.0444864629201</v>
      </c>
      <c r="U9" s="22">
        <f t="shared" si="17"/>
        <v>1827.4020887195279</v>
      </c>
      <c r="V9" s="22">
        <f t="shared" si="17"/>
        <v>937.21761735258281</v>
      </c>
      <c r="W9" s="67" t="s">
        <v>118</v>
      </c>
    </row>
    <row r="10" spans="1:23" ht="15" customHeight="1" x14ac:dyDescent="0.25">
      <c r="A10" t="s">
        <v>22</v>
      </c>
      <c r="C10" s="35">
        <f t="shared" ref="C10" si="18">C5/C7</f>
        <v>8.7163531114327064</v>
      </c>
      <c r="D10" s="35">
        <f t="shared" ref="D10:J10" si="19">D5/D7</f>
        <v>11.530398322851154</v>
      </c>
      <c r="E10" s="35">
        <f t="shared" si="19"/>
        <v>13.6</v>
      </c>
      <c r="F10" s="35">
        <f t="shared" si="19"/>
        <v>12.055335968379447</v>
      </c>
      <c r="G10" s="35">
        <f t="shared" ref="G10" si="20">G5/G7</f>
        <v>12.055335968379447</v>
      </c>
      <c r="H10" s="35">
        <f t="shared" si="19"/>
        <v>12.162162162162163</v>
      </c>
      <c r="I10" s="35">
        <f t="shared" si="19"/>
        <v>11.482352941176471</v>
      </c>
      <c r="J10" s="35">
        <f t="shared" si="19"/>
        <v>12.183908045977013</v>
      </c>
      <c r="K10" s="22">
        <f t="shared" ref="K10:O10" si="21">K5/K7</f>
        <v>9.2930327868852469</v>
      </c>
      <c r="L10" s="22">
        <f t="shared" ref="L10" si="22">L5/L7</f>
        <v>9.140625</v>
      </c>
      <c r="M10" s="22">
        <f t="shared" ref="M10" si="23">M5/M7</f>
        <v>11.764705882352942</v>
      </c>
      <c r="N10" s="22">
        <f t="shared" ref="N10" si="24">N5/N7</f>
        <v>10.298507462686567</v>
      </c>
      <c r="O10" s="22">
        <f t="shared" si="21"/>
        <v>11.962162162162162</v>
      </c>
      <c r="P10" s="25">
        <v>10.56</v>
      </c>
      <c r="Q10" s="22">
        <f t="shared" ref="Q10:R10" si="25">Q5/Q7</f>
        <v>10.379746835443038</v>
      </c>
      <c r="R10" s="22">
        <f t="shared" si="25"/>
        <v>12.247191011235955</v>
      </c>
      <c r="S10" s="22">
        <f t="shared" ref="S10:V10" si="26">S5/S7</f>
        <v>14.025400331308669</v>
      </c>
      <c r="T10" s="22">
        <f t="shared" si="26"/>
        <v>9.8774193548387093</v>
      </c>
      <c r="U10" s="22">
        <f t="shared" si="26"/>
        <v>9.8965517241379306</v>
      </c>
      <c r="V10" s="22">
        <f t="shared" si="26"/>
        <v>19.948453608247423</v>
      </c>
      <c r="W10" s="63" t="s">
        <v>119</v>
      </c>
    </row>
    <row r="11" spans="1:23" ht="15" customHeight="1" x14ac:dyDescent="0.25">
      <c r="A11" t="s">
        <v>78</v>
      </c>
      <c r="C11" s="36">
        <f>C10*0.5</f>
        <v>4.3581765557163532</v>
      </c>
      <c r="D11" s="36">
        <f>D10*0.5</f>
        <v>5.7651991614255769</v>
      </c>
      <c r="E11" s="36">
        <f t="shared" ref="E11:H11" si="27">E10*0.5</f>
        <v>6.8</v>
      </c>
      <c r="F11" s="36">
        <f t="shared" ref="F11:G11" si="28">F10*0.5</f>
        <v>6.0276679841897236</v>
      </c>
      <c r="G11" s="36">
        <f t="shared" si="28"/>
        <v>6.0276679841897236</v>
      </c>
      <c r="H11" s="36">
        <f t="shared" si="27"/>
        <v>6.0810810810810816</v>
      </c>
      <c r="I11" s="36">
        <f t="shared" ref="I11:J11" si="29">I10*0.5</f>
        <v>5.7411764705882353</v>
      </c>
      <c r="J11" s="36">
        <f t="shared" si="29"/>
        <v>6.0919540229885065</v>
      </c>
      <c r="K11" s="22">
        <f t="shared" ref="K11:P11" si="30">K10*0.5</f>
        <v>4.6465163934426235</v>
      </c>
      <c r="L11" s="22">
        <f t="shared" ref="L11" si="31">L10*0.5</f>
        <v>4.5703125</v>
      </c>
      <c r="M11" s="22">
        <f t="shared" ref="M11" si="32">M10*0.5</f>
        <v>5.882352941176471</v>
      </c>
      <c r="N11" s="22">
        <f t="shared" ref="N11" si="33">N10*0.5</f>
        <v>5.1492537313432836</v>
      </c>
      <c r="O11" s="22">
        <f t="shared" si="30"/>
        <v>5.9810810810810811</v>
      </c>
      <c r="P11" s="22">
        <f t="shared" si="30"/>
        <v>5.28</v>
      </c>
      <c r="Q11" s="22">
        <f t="shared" ref="Q11:R11" si="34">Q10*0.5</f>
        <v>5.1898734177215191</v>
      </c>
      <c r="R11" s="22">
        <f t="shared" si="34"/>
        <v>6.1235955056179776</v>
      </c>
      <c r="S11" s="22">
        <f t="shared" ref="S11:V11" si="35">S10*0.5</f>
        <v>7.0127001656543344</v>
      </c>
      <c r="T11" s="22">
        <f t="shared" si="35"/>
        <v>4.9387096774193546</v>
      </c>
      <c r="U11" s="22">
        <f t="shared" si="35"/>
        <v>4.9482758620689653</v>
      </c>
      <c r="V11" s="22">
        <f t="shared" si="35"/>
        <v>9.9742268041237114</v>
      </c>
      <c r="W11" s="63" t="s">
        <v>120</v>
      </c>
    </row>
    <row r="12" spans="1:23" ht="15" customHeight="1" x14ac:dyDescent="0.25">
      <c r="A12" t="s">
        <v>101</v>
      </c>
      <c r="C12" s="36">
        <f>0.91*C10</f>
        <v>7.9318813314037628</v>
      </c>
      <c r="D12" s="36">
        <f>0.91*D10</f>
        <v>10.49266247379455</v>
      </c>
      <c r="E12" s="36">
        <f t="shared" ref="E12:P12" si="36">0.91*E10</f>
        <v>12.375999999999999</v>
      </c>
      <c r="F12" s="36">
        <f t="shared" ref="F12:G12" si="37">0.91*F10</f>
        <v>10.970355731225297</v>
      </c>
      <c r="G12" s="36">
        <f t="shared" si="37"/>
        <v>10.970355731225297</v>
      </c>
      <c r="H12" s="36">
        <f t="shared" si="36"/>
        <v>11.067567567567568</v>
      </c>
      <c r="I12" s="36">
        <f t="shared" ref="I12:J12" si="38">0.91*I10</f>
        <v>10.448941176470589</v>
      </c>
      <c r="J12" s="36">
        <f t="shared" si="38"/>
        <v>11.087356321839081</v>
      </c>
      <c r="K12" s="36">
        <f t="shared" si="36"/>
        <v>8.4566598360655743</v>
      </c>
      <c r="L12" s="36">
        <f t="shared" ref="L12" si="39">0.91*L10</f>
        <v>8.3179687500000004</v>
      </c>
      <c r="M12" s="36">
        <f t="shared" ref="M12" si="40">0.91*M10</f>
        <v>10.705882352941178</v>
      </c>
      <c r="N12" s="36">
        <f t="shared" ref="N12" si="41">0.91*N10</f>
        <v>9.3716417910447767</v>
      </c>
      <c r="O12" s="36">
        <f t="shared" si="36"/>
        <v>10.885567567567568</v>
      </c>
      <c r="P12" s="36">
        <f t="shared" si="36"/>
        <v>9.6096000000000004</v>
      </c>
      <c r="Q12" s="36">
        <f t="shared" ref="Q12:R12" si="42">0.91*Q10</f>
        <v>9.4455696202531652</v>
      </c>
      <c r="R12" s="36">
        <f t="shared" si="42"/>
        <v>11.14494382022472</v>
      </c>
      <c r="S12" s="36">
        <f t="shared" ref="S12:V12" si="43">0.91*S10</f>
        <v>12.763114301490889</v>
      </c>
      <c r="T12" s="36">
        <f t="shared" si="43"/>
        <v>8.9884516129032264</v>
      </c>
      <c r="U12" s="36">
        <f t="shared" si="43"/>
        <v>9.0058620689655164</v>
      </c>
      <c r="V12" s="36">
        <f t="shared" si="43"/>
        <v>18.153092783505155</v>
      </c>
      <c r="W12" s="63" t="s">
        <v>121</v>
      </c>
    </row>
    <row r="13" spans="1:23" ht="15" customHeight="1" x14ac:dyDescent="0.25">
      <c r="C13" s="33"/>
      <c r="E13" s="37"/>
      <c r="F13" s="37"/>
      <c r="G13" s="37"/>
      <c r="H13" s="37"/>
      <c r="I13" s="37"/>
      <c r="J13" s="37"/>
      <c r="K13" s="19"/>
      <c r="L13" s="19"/>
      <c r="N13" s="19"/>
      <c r="O13" s="19"/>
      <c r="P13" s="19"/>
    </row>
    <row r="14" spans="1:23" ht="15" customHeight="1" x14ac:dyDescent="0.25">
      <c r="A14" t="s">
        <v>20</v>
      </c>
      <c r="B14" t="s">
        <v>18</v>
      </c>
      <c r="C14" s="47">
        <v>0</v>
      </c>
      <c r="D14" s="47">
        <v>0</v>
      </c>
      <c r="E14" s="38">
        <v>6.5</v>
      </c>
      <c r="F14" s="38">
        <v>3.15</v>
      </c>
      <c r="G14" s="38">
        <v>3.15</v>
      </c>
      <c r="H14" s="38">
        <v>1.94</v>
      </c>
      <c r="I14" s="38">
        <v>11.4</v>
      </c>
      <c r="J14" s="38">
        <v>0</v>
      </c>
      <c r="K14" s="20">
        <v>0</v>
      </c>
      <c r="L14" s="20">
        <v>0</v>
      </c>
      <c r="M14" s="20">
        <v>0</v>
      </c>
      <c r="N14" s="20">
        <v>0</v>
      </c>
      <c r="O14" s="38">
        <v>6.73</v>
      </c>
      <c r="P14" s="38">
        <v>6.7</v>
      </c>
      <c r="Q14" s="51">
        <v>5.5</v>
      </c>
      <c r="R14" s="51">
        <v>7.13</v>
      </c>
      <c r="S14" s="51">
        <v>19.3</v>
      </c>
      <c r="T14" s="51">
        <v>31</v>
      </c>
      <c r="U14" s="51">
        <v>86</v>
      </c>
      <c r="V14" s="51">
        <v>44</v>
      </c>
      <c r="W14" s="63" t="s">
        <v>122</v>
      </c>
    </row>
    <row r="15" spans="1:23" ht="15" customHeight="1" x14ac:dyDescent="0.25">
      <c r="A15" t="s">
        <v>21</v>
      </c>
      <c r="C15" s="48">
        <f t="shared" ref="C15" si="44">C14/C8</f>
        <v>0</v>
      </c>
      <c r="D15" s="48">
        <f t="shared" ref="D15:J15" si="45">D14/D8</f>
        <v>0</v>
      </c>
      <c r="E15" s="48">
        <f t="shared" si="45"/>
        <v>0.10761762624740098</v>
      </c>
      <c r="F15" s="48">
        <f t="shared" si="45"/>
        <v>8.8926173666774092E-2</v>
      </c>
      <c r="G15" s="48">
        <f t="shared" ref="G15" si="46">G14/G8</f>
        <v>8.8926173666774092E-2</v>
      </c>
      <c r="H15" s="48">
        <f t="shared" si="45"/>
        <v>2.4287852505295148E-2</v>
      </c>
      <c r="I15" s="48">
        <f t="shared" si="45"/>
        <v>9.3474855800917939E-2</v>
      </c>
      <c r="J15" s="48">
        <f t="shared" si="45"/>
        <v>0</v>
      </c>
      <c r="K15" s="22">
        <f t="shared" ref="K15:R15" si="47">K14/K8</f>
        <v>0</v>
      </c>
      <c r="L15" s="22">
        <f t="shared" ref="L15" si="48">L14/L8</f>
        <v>0</v>
      </c>
      <c r="M15" s="22">
        <f t="shared" ref="M15" si="49">M14/M8</f>
        <v>0</v>
      </c>
      <c r="N15" s="22">
        <f t="shared" si="47"/>
        <v>0</v>
      </c>
      <c r="O15" s="22">
        <f t="shared" si="47"/>
        <v>0.10306891696168784</v>
      </c>
      <c r="P15" s="22">
        <f t="shared" si="47"/>
        <v>0.13408765034426579</v>
      </c>
      <c r="Q15" s="22">
        <f t="shared" si="47"/>
        <v>0.10869403463504278</v>
      </c>
      <c r="R15" s="22">
        <f t="shared" si="47"/>
        <v>0.11154728642500417</v>
      </c>
      <c r="S15" s="22">
        <f t="shared" ref="S15:V15" si="50">S14/S8</f>
        <v>0.14821523294070832</v>
      </c>
      <c r="T15" s="22">
        <f t="shared" si="50"/>
        <v>0.14193560969483723</v>
      </c>
      <c r="U15" s="22">
        <f t="shared" si="50"/>
        <v>0.2353067245869811</v>
      </c>
      <c r="V15" s="22">
        <f t="shared" si="50"/>
        <v>0.23473737147776602</v>
      </c>
      <c r="W15" s="63" t="s">
        <v>123</v>
      </c>
    </row>
    <row r="16" spans="1:23" ht="15" customHeight="1" x14ac:dyDescent="0.25">
      <c r="E16" s="39"/>
      <c r="F16" s="39"/>
      <c r="G16" s="39"/>
      <c r="H16" s="39"/>
      <c r="I16" s="39"/>
      <c r="J16" s="39"/>
      <c r="K16" s="19"/>
      <c r="L16" s="19"/>
      <c r="N16" s="19"/>
      <c r="O16" s="19"/>
      <c r="P16" s="19"/>
    </row>
    <row r="17" spans="1:28" ht="15" customHeight="1" x14ac:dyDescent="0.25">
      <c r="A17" t="s">
        <v>25</v>
      </c>
      <c r="E17" s="39"/>
      <c r="F17" s="39"/>
      <c r="G17" s="39"/>
      <c r="H17" s="39"/>
      <c r="I17" s="39"/>
      <c r="J17" s="39"/>
      <c r="K17" s="19"/>
      <c r="L17" s="19"/>
      <c r="N17" s="19"/>
      <c r="O17" s="19"/>
      <c r="P17" s="19"/>
      <c r="W17" s="63" t="s">
        <v>124</v>
      </c>
    </row>
    <row r="18" spans="1:28" ht="15" customHeight="1" x14ac:dyDescent="0.25">
      <c r="A18" t="s">
        <v>14</v>
      </c>
      <c r="B18" t="s">
        <v>10</v>
      </c>
      <c r="C18" s="72"/>
      <c r="D18" s="34">
        <v>31.47</v>
      </c>
      <c r="E18" s="11">
        <v>44.47</v>
      </c>
      <c r="F18" s="11"/>
      <c r="G18" s="11"/>
      <c r="H18" s="11">
        <v>66.72</v>
      </c>
      <c r="I18" s="11"/>
      <c r="J18" s="11">
        <v>24</v>
      </c>
      <c r="K18" s="20"/>
      <c r="L18" s="20"/>
      <c r="M18" s="20"/>
      <c r="N18" s="20"/>
      <c r="O18" s="20"/>
      <c r="P18" s="20"/>
      <c r="Q18" s="51">
        <v>28.04</v>
      </c>
      <c r="R18" s="51">
        <v>45</v>
      </c>
      <c r="S18" s="51">
        <v>132</v>
      </c>
      <c r="T18" s="51"/>
      <c r="U18" s="51"/>
      <c r="V18" s="51">
        <v>244.56</v>
      </c>
      <c r="W18" s="63" t="s">
        <v>115</v>
      </c>
    </row>
    <row r="19" spans="1:28" ht="15" customHeight="1" x14ac:dyDescent="0.25">
      <c r="A19" t="s">
        <v>15</v>
      </c>
      <c r="B19" t="s">
        <v>10</v>
      </c>
      <c r="C19" s="72"/>
      <c r="D19" s="34">
        <v>6.46</v>
      </c>
      <c r="E19" s="11">
        <v>6.65</v>
      </c>
      <c r="F19" s="11"/>
      <c r="G19" s="11"/>
      <c r="H19" s="11">
        <v>19.39</v>
      </c>
      <c r="I19" s="11"/>
      <c r="J19" s="11">
        <v>10.119999999999999</v>
      </c>
      <c r="K19" s="20"/>
      <c r="L19" s="20"/>
      <c r="M19" s="20"/>
      <c r="N19" s="20"/>
      <c r="O19" s="20"/>
      <c r="P19" s="20"/>
      <c r="Q19" s="51">
        <v>8.39</v>
      </c>
      <c r="R19" s="51">
        <v>13.535399999999999</v>
      </c>
      <c r="S19" s="51">
        <v>22.6</v>
      </c>
      <c r="T19" s="51"/>
      <c r="U19" s="51"/>
      <c r="V19" s="51">
        <v>56.45</v>
      </c>
      <c r="W19" s="63" t="s">
        <v>114</v>
      </c>
    </row>
    <row r="20" spans="1:28" ht="15" customHeight="1" x14ac:dyDescent="0.25">
      <c r="A20" t="s">
        <v>16</v>
      </c>
      <c r="B20" t="s">
        <v>10</v>
      </c>
      <c r="C20" s="72"/>
      <c r="D20" s="34">
        <v>3.61</v>
      </c>
      <c r="E20" s="11">
        <v>3.94</v>
      </c>
      <c r="F20" s="11"/>
      <c r="G20" s="11"/>
      <c r="H20" s="11">
        <v>5.73</v>
      </c>
      <c r="I20" s="11"/>
      <c r="J20" s="11">
        <v>3.1</v>
      </c>
      <c r="K20" s="20"/>
      <c r="L20" s="20"/>
      <c r="M20" s="20"/>
      <c r="N20" s="20"/>
      <c r="O20" s="20"/>
      <c r="P20" s="20"/>
      <c r="Q20" s="51">
        <v>3.93</v>
      </c>
      <c r="R20" s="51">
        <v>5.32</v>
      </c>
      <c r="S20" s="51">
        <v>13</v>
      </c>
      <c r="T20" s="51"/>
      <c r="U20" s="51"/>
      <c r="V20" s="51">
        <v>17.600000000000001</v>
      </c>
      <c r="W20" s="64" t="s">
        <v>116</v>
      </c>
    </row>
    <row r="21" spans="1:28" s="4" customFormat="1" ht="15" customHeight="1" x14ac:dyDescent="0.25">
      <c r="D21" s="40"/>
      <c r="E21" s="39"/>
      <c r="F21" s="39"/>
      <c r="G21" s="39"/>
      <c r="H21" s="39"/>
      <c r="I21" s="39"/>
      <c r="J21" s="39"/>
      <c r="K21" s="23"/>
      <c r="L21" s="23"/>
      <c r="M21" s="23"/>
      <c r="N21" s="23"/>
      <c r="O21" s="23"/>
      <c r="P21" s="23"/>
      <c r="Q21" s="41"/>
      <c r="R21" s="41"/>
      <c r="S21" s="41"/>
      <c r="T21" s="41"/>
      <c r="U21" s="41"/>
      <c r="V21" s="41"/>
      <c r="W21" s="66"/>
      <c r="X21" s="41"/>
      <c r="Y21" s="41"/>
      <c r="Z21" s="41"/>
      <c r="AA21" s="41"/>
      <c r="AB21" s="41"/>
    </row>
    <row r="22" spans="1:28" ht="15" customHeight="1" x14ac:dyDescent="0.25">
      <c r="A22" t="s">
        <v>26</v>
      </c>
      <c r="B22" t="s">
        <v>18</v>
      </c>
      <c r="C22" s="11">
        <v>8.2449999999999992</v>
      </c>
      <c r="D22" s="35">
        <f>(POWER(D18*D19*D20,1/3))*2</f>
        <v>18.040233312780721</v>
      </c>
      <c r="E22" s="35">
        <f>(POWER(E18*E19*E20,1/3))*2</f>
        <v>21.045455401277028</v>
      </c>
      <c r="F22" s="11">
        <v>10.038</v>
      </c>
      <c r="G22" s="11">
        <v>7.35</v>
      </c>
      <c r="H22" s="35">
        <f>(POWER(H18*H19*H20,1/3))*2</f>
        <v>38.996546850077706</v>
      </c>
      <c r="I22" s="35">
        <v>58.344000000000001</v>
      </c>
      <c r="J22" s="35">
        <f>(POWER(J18*J19*J20,1/3))*2</f>
        <v>18.194822018507573</v>
      </c>
      <c r="K22" s="22">
        <f t="shared" ref="K22:P22" si="51">(POWER(K18*K19*K20,1/3))*2</f>
        <v>0</v>
      </c>
      <c r="L22" s="22">
        <f t="shared" ref="L22" si="52">(POWER(L18*L19*L20,1/3))*2</f>
        <v>0</v>
      </c>
      <c r="M22" s="22">
        <f t="shared" ref="M22" si="53">(POWER(M18*M19*M20,1/3))*2</f>
        <v>0</v>
      </c>
      <c r="N22" s="22">
        <f t="shared" ref="N22" si="54">(POWER(N18*N19*N20,1/3))*2</f>
        <v>0</v>
      </c>
      <c r="O22" s="22">
        <f t="shared" si="51"/>
        <v>0</v>
      </c>
      <c r="P22" s="22">
        <f t="shared" si="51"/>
        <v>0</v>
      </c>
      <c r="Q22" s="22">
        <f t="shared" ref="Q22" si="55">(POWER(Q18*Q19*Q20,1/3))*2</f>
        <v>19.483822711822473</v>
      </c>
      <c r="R22" s="25">
        <v>24.54</v>
      </c>
      <c r="S22" s="22">
        <f t="shared" ref="S22:V22" si="56">(POWER(S18*S19*S20,1/3))*2</f>
        <v>67.697386565315639</v>
      </c>
      <c r="T22" s="22">
        <f t="shared" si="56"/>
        <v>0</v>
      </c>
      <c r="U22" s="22">
        <f t="shared" si="56"/>
        <v>0</v>
      </c>
      <c r="V22" s="22">
        <f t="shared" si="56"/>
        <v>124.80079223691688</v>
      </c>
      <c r="W22" s="65" t="s">
        <v>117</v>
      </c>
    </row>
    <row r="23" spans="1:28" ht="15" customHeight="1" x14ac:dyDescent="0.25">
      <c r="A23" t="s">
        <v>27</v>
      </c>
      <c r="C23" s="35">
        <f t="shared" ref="C23" si="57">C22/C8</f>
        <v>0.17595874981572648</v>
      </c>
      <c r="D23" s="35">
        <f t="shared" ref="D23:J23" si="58">D22/D8</f>
        <v>0.26374293632033863</v>
      </c>
      <c r="E23" s="35">
        <f t="shared" si="58"/>
        <v>0.34844030055091962</v>
      </c>
      <c r="F23" s="35">
        <f t="shared" si="58"/>
        <v>0.28337807341812016</v>
      </c>
      <c r="G23" s="35">
        <f t="shared" ref="G23" si="59">G22/G8</f>
        <v>0.20749440522247289</v>
      </c>
      <c r="H23" s="35">
        <f t="shared" si="58"/>
        <v>0.48821772067552549</v>
      </c>
      <c r="I23" s="35">
        <f t="shared" si="58"/>
        <v>0.47839447253059264</v>
      </c>
      <c r="J23" s="35">
        <f t="shared" si="58"/>
        <v>0.28850264848173385</v>
      </c>
      <c r="K23" s="22">
        <f t="shared" ref="K23:P23" si="60">K22/K8</f>
        <v>0</v>
      </c>
      <c r="L23" s="22">
        <f t="shared" ref="L23" si="61">L22/L8</f>
        <v>0</v>
      </c>
      <c r="M23" s="22">
        <f t="shared" ref="M23" si="62">M22/M8</f>
        <v>0</v>
      </c>
      <c r="N23" s="22">
        <f t="shared" ref="N23" si="63">N22/N8</f>
        <v>0</v>
      </c>
      <c r="O23" s="22">
        <f t="shared" si="60"/>
        <v>0</v>
      </c>
      <c r="P23" s="22">
        <f t="shared" si="60"/>
        <v>0</v>
      </c>
      <c r="Q23" s="22">
        <f t="shared" ref="Q23:R23" si="64">Q22/Q8</f>
        <v>0.38505005466579362</v>
      </c>
      <c r="R23" s="22">
        <f t="shared" si="64"/>
        <v>0.38392291849503535</v>
      </c>
      <c r="S23" s="22">
        <f t="shared" ref="S23:V23" si="65">S22/S8</f>
        <v>0.51988517716349403</v>
      </c>
      <c r="T23" s="22">
        <f t="shared" si="65"/>
        <v>0</v>
      </c>
      <c r="U23" s="22">
        <f t="shared" si="65"/>
        <v>0</v>
      </c>
      <c r="V23" s="22">
        <f t="shared" si="65"/>
        <v>0.66580477109174219</v>
      </c>
    </row>
    <row r="24" spans="1:28" ht="15" customHeight="1" x14ac:dyDescent="0.25">
      <c r="A24" t="s">
        <v>96</v>
      </c>
      <c r="B24" t="s">
        <v>4</v>
      </c>
      <c r="C24" s="35">
        <f>C25/2</f>
        <v>2149.88375</v>
      </c>
      <c r="D24" s="35">
        <f>D25/2</f>
        <v>4703.9908363075729</v>
      </c>
      <c r="E24" s="35">
        <f t="shared" ref="E24:V24" si="66">E25/2</f>
        <v>5487.6024958829848</v>
      </c>
      <c r="F24" s="35">
        <f t="shared" si="66"/>
        <v>2617.4085</v>
      </c>
      <c r="G24" s="35">
        <f t="shared" si="66"/>
        <v>1916.5124999999998</v>
      </c>
      <c r="H24" s="35">
        <f t="shared" si="66"/>
        <v>10168.349591157761</v>
      </c>
      <c r="I24" s="35">
        <f t="shared" si="66"/>
        <v>15213.198</v>
      </c>
      <c r="J24" s="35">
        <f t="shared" si="66"/>
        <v>4744.2998413258492</v>
      </c>
      <c r="K24" s="35">
        <f t="shared" si="66"/>
        <v>2630</v>
      </c>
      <c r="L24" s="35">
        <f t="shared" si="66"/>
        <v>3674</v>
      </c>
      <c r="M24" s="35">
        <f t="shared" si="66"/>
        <v>1614</v>
      </c>
      <c r="N24" s="35">
        <f t="shared" si="66"/>
        <v>2451.5</v>
      </c>
      <c r="O24" s="35">
        <f t="shared" si="66"/>
        <v>4683.25</v>
      </c>
      <c r="P24" s="35">
        <f t="shared" si="66"/>
        <v>4139</v>
      </c>
      <c r="Q24" s="35">
        <f t="shared" si="66"/>
        <v>5080.4067721077099</v>
      </c>
      <c r="R24" s="35">
        <f t="shared" si="66"/>
        <v>6398.8049999999994</v>
      </c>
      <c r="S24" s="35">
        <f t="shared" si="66"/>
        <v>17652.093546906053</v>
      </c>
      <c r="T24" s="35">
        <f t="shared" si="66"/>
        <v>26775</v>
      </c>
      <c r="U24" s="35">
        <f t="shared" si="66"/>
        <v>70300</v>
      </c>
      <c r="V24" s="35">
        <f t="shared" si="66"/>
        <v>32541.806575776074</v>
      </c>
      <c r="W24" s="63" t="s">
        <v>125</v>
      </c>
    </row>
    <row r="25" spans="1:28" ht="15" customHeight="1" x14ac:dyDescent="0.25">
      <c r="A25" t="s">
        <v>95</v>
      </c>
      <c r="B25" t="s">
        <v>4</v>
      </c>
      <c r="C25" s="35">
        <f>521.5*C22</f>
        <v>4299.7674999999999</v>
      </c>
      <c r="D25" s="35">
        <f>521.5*D22</f>
        <v>9407.9816726151457</v>
      </c>
      <c r="E25" s="35">
        <f t="shared" ref="E25:H25" si="67">521.5*E22</f>
        <v>10975.20499176597</v>
      </c>
      <c r="F25" s="35">
        <f t="shared" ref="F25:G25" si="68">521.5*F22</f>
        <v>5234.817</v>
      </c>
      <c r="G25" s="35">
        <f t="shared" si="68"/>
        <v>3833.0249999999996</v>
      </c>
      <c r="H25" s="35">
        <f t="shared" si="67"/>
        <v>20336.699182315522</v>
      </c>
      <c r="I25" s="35">
        <f t="shared" ref="I25:J25" si="69">521.5*I22</f>
        <v>30426.396000000001</v>
      </c>
      <c r="J25" s="35">
        <f t="shared" si="69"/>
        <v>9488.5996826516985</v>
      </c>
      <c r="K25" s="25">
        <v>5260</v>
      </c>
      <c r="L25" s="25">
        <v>7348</v>
      </c>
      <c r="M25" s="25">
        <v>3228</v>
      </c>
      <c r="N25" s="25">
        <v>4903</v>
      </c>
      <c r="O25" s="25">
        <v>9366.5</v>
      </c>
      <c r="P25" s="25">
        <v>8278</v>
      </c>
      <c r="Q25" s="35">
        <f>521.5*Q22</f>
        <v>10160.81354421542</v>
      </c>
      <c r="R25" s="35">
        <f>521.5*R22</f>
        <v>12797.609999999999</v>
      </c>
      <c r="S25" s="35">
        <f>521.5*S22</f>
        <v>35304.187093812106</v>
      </c>
      <c r="T25" s="11">
        <v>53550</v>
      </c>
      <c r="U25" s="11">
        <v>140600</v>
      </c>
      <c r="V25" s="35">
        <f t="shared" ref="V25" si="70">521.5*V22</f>
        <v>65083.613151552148</v>
      </c>
      <c r="W25" s="63" t="s">
        <v>126</v>
      </c>
    </row>
    <row r="26" spans="1:28" ht="15" customHeight="1" x14ac:dyDescent="0.25">
      <c r="A26" t="s">
        <v>45</v>
      </c>
      <c r="B26" t="s">
        <v>4</v>
      </c>
      <c r="C26" s="34">
        <v>1660</v>
      </c>
      <c r="D26" s="34">
        <v>0</v>
      </c>
      <c r="E26" s="11">
        <v>1400</v>
      </c>
      <c r="F26" s="11">
        <v>900</v>
      </c>
      <c r="G26" s="11">
        <v>900</v>
      </c>
      <c r="H26" s="11">
        <v>0</v>
      </c>
      <c r="I26" s="11">
        <v>0</v>
      </c>
      <c r="J26" s="11">
        <v>0</v>
      </c>
      <c r="K26" s="20">
        <v>1932.2</v>
      </c>
      <c r="L26" s="20">
        <v>1016</v>
      </c>
      <c r="M26" s="20"/>
      <c r="N26" s="20">
        <v>1016</v>
      </c>
      <c r="O26" s="20">
        <v>1800</v>
      </c>
      <c r="P26" s="20">
        <v>0</v>
      </c>
      <c r="Q26" s="51">
        <v>0</v>
      </c>
      <c r="R26" s="51">
        <v>1500</v>
      </c>
      <c r="S26" s="51">
        <v>0</v>
      </c>
      <c r="T26" s="51">
        <v>0</v>
      </c>
      <c r="U26" s="51">
        <v>0</v>
      </c>
      <c r="V26" s="51">
        <v>0</v>
      </c>
      <c r="W26" s="63" t="s">
        <v>127</v>
      </c>
    </row>
    <row r="27" spans="1:28" ht="15" customHeight="1" x14ac:dyDescent="0.25">
      <c r="A27" t="s">
        <v>46</v>
      </c>
      <c r="B27" t="s">
        <v>47</v>
      </c>
      <c r="C27" s="34">
        <v>1</v>
      </c>
      <c r="D27" s="34">
        <v>0</v>
      </c>
      <c r="E27" s="11">
        <v>2</v>
      </c>
      <c r="F27" s="11">
        <v>2</v>
      </c>
      <c r="G27" s="11">
        <v>2</v>
      </c>
      <c r="H27" s="11">
        <v>0</v>
      </c>
      <c r="I27" s="11">
        <v>0</v>
      </c>
      <c r="J27" s="11">
        <v>0</v>
      </c>
      <c r="K27" s="20">
        <v>5</v>
      </c>
      <c r="L27" s="20">
        <v>3</v>
      </c>
      <c r="M27" s="20"/>
      <c r="N27" s="20">
        <v>3</v>
      </c>
      <c r="O27" s="20">
        <v>2</v>
      </c>
      <c r="P27" s="20">
        <v>0</v>
      </c>
      <c r="Q27" s="51">
        <v>0</v>
      </c>
      <c r="R27" s="51">
        <v>4</v>
      </c>
      <c r="S27" s="51">
        <v>0</v>
      </c>
      <c r="T27" s="51">
        <v>0</v>
      </c>
      <c r="U27" s="51">
        <v>0</v>
      </c>
      <c r="V27" s="51">
        <v>0</v>
      </c>
      <c r="W27" s="63" t="s">
        <v>128</v>
      </c>
    </row>
    <row r="28" spans="1:28" ht="15" customHeight="1" x14ac:dyDescent="0.25">
      <c r="A28" t="s">
        <v>48</v>
      </c>
      <c r="B28" t="s">
        <v>4</v>
      </c>
      <c r="C28" s="35">
        <f t="shared" ref="C28" si="71">C25+(C26*C27)</f>
        <v>5959.7674999999999</v>
      </c>
      <c r="D28" s="35">
        <f t="shared" ref="D28:J28" si="72">D25+(D26*D27)</f>
        <v>9407.9816726151457</v>
      </c>
      <c r="E28" s="35">
        <f t="shared" si="72"/>
        <v>13775.20499176597</v>
      </c>
      <c r="F28" s="35">
        <f t="shared" si="72"/>
        <v>7034.817</v>
      </c>
      <c r="G28" s="35">
        <f t="shared" ref="G28" si="73">G25+(G26*G27)</f>
        <v>5633.0249999999996</v>
      </c>
      <c r="H28" s="35">
        <f t="shared" si="72"/>
        <v>20336.699182315522</v>
      </c>
      <c r="I28" s="35">
        <f t="shared" si="72"/>
        <v>30426.396000000001</v>
      </c>
      <c r="J28" s="35">
        <f t="shared" si="72"/>
        <v>9488.5996826516985</v>
      </c>
      <c r="K28" s="22">
        <f t="shared" ref="K28:R28" si="74">K25+(K26*K27)</f>
        <v>14921</v>
      </c>
      <c r="L28" s="22">
        <f t="shared" si="74"/>
        <v>10396</v>
      </c>
      <c r="M28" s="22">
        <f t="shared" si="74"/>
        <v>3228</v>
      </c>
      <c r="N28" s="22">
        <f t="shared" si="74"/>
        <v>7951</v>
      </c>
      <c r="O28" s="22">
        <f t="shared" si="74"/>
        <v>12966.5</v>
      </c>
      <c r="P28" s="25">
        <v>0</v>
      </c>
      <c r="Q28" s="22">
        <f t="shared" si="74"/>
        <v>10160.81354421542</v>
      </c>
      <c r="R28" s="22">
        <f t="shared" si="74"/>
        <v>18797.61</v>
      </c>
      <c r="S28" s="22">
        <f t="shared" ref="S28:V28" si="75">S25+(S26*S27)</f>
        <v>35304.187093812106</v>
      </c>
      <c r="T28" s="22">
        <f t="shared" si="75"/>
        <v>53550</v>
      </c>
      <c r="U28" s="22">
        <f t="shared" si="75"/>
        <v>140600</v>
      </c>
      <c r="V28" s="22">
        <f t="shared" si="75"/>
        <v>65083.613151552148</v>
      </c>
      <c r="W28" s="63" t="s">
        <v>129</v>
      </c>
    </row>
    <row r="29" spans="1:28" ht="15" customHeight="1" x14ac:dyDescent="0.25">
      <c r="E29" s="39"/>
      <c r="F29" s="39"/>
      <c r="G29" s="39"/>
      <c r="H29" s="39"/>
      <c r="I29" s="39"/>
      <c r="J29" s="39"/>
      <c r="K29" s="19"/>
      <c r="L29" s="19"/>
      <c r="N29" s="19"/>
      <c r="O29" s="19"/>
      <c r="P29" s="19"/>
    </row>
    <row r="30" spans="1:28" ht="15" customHeight="1" x14ac:dyDescent="0.25">
      <c r="A30" t="s">
        <v>43</v>
      </c>
      <c r="B30" t="s">
        <v>8</v>
      </c>
      <c r="C30" s="72">
        <v>10977</v>
      </c>
      <c r="D30" s="34">
        <v>7770</v>
      </c>
      <c r="E30" s="11">
        <v>9800</v>
      </c>
      <c r="F30" s="11">
        <v>11000</v>
      </c>
      <c r="G30" s="11">
        <v>11000</v>
      </c>
      <c r="H30" s="11">
        <v>12500</v>
      </c>
      <c r="I30" s="11">
        <v>12500</v>
      </c>
      <c r="J30" s="11">
        <v>12500</v>
      </c>
      <c r="K30" s="20">
        <v>6618</v>
      </c>
      <c r="L30" s="20">
        <v>5600</v>
      </c>
      <c r="M30" s="20">
        <v>7920</v>
      </c>
      <c r="N30" s="20">
        <v>4944</v>
      </c>
      <c r="O30" s="20">
        <v>11825</v>
      </c>
      <c r="P30" s="20">
        <v>13062</v>
      </c>
      <c r="Q30" s="51">
        <v>5800</v>
      </c>
      <c r="R30" s="51">
        <v>9500</v>
      </c>
      <c r="S30" s="51">
        <v>9500</v>
      </c>
      <c r="T30" s="51">
        <v>14500</v>
      </c>
      <c r="U30" s="51">
        <v>14000</v>
      </c>
      <c r="V30" s="51">
        <v>17500</v>
      </c>
      <c r="W30" s="63" t="s">
        <v>130</v>
      </c>
    </row>
    <row r="31" spans="1:28" ht="15" customHeight="1" x14ac:dyDescent="0.25">
      <c r="A31" t="s">
        <v>42</v>
      </c>
      <c r="B31" t="s">
        <v>8</v>
      </c>
      <c r="C31" s="72">
        <v>15500</v>
      </c>
      <c r="D31" s="34">
        <v>12500</v>
      </c>
      <c r="E31" s="34">
        <v>15500</v>
      </c>
      <c r="F31" s="34">
        <v>17500</v>
      </c>
      <c r="G31" s="34">
        <v>17500</v>
      </c>
      <c r="H31" s="34">
        <v>20000</v>
      </c>
      <c r="I31" s="34">
        <v>20000</v>
      </c>
      <c r="J31" s="34">
        <v>20000</v>
      </c>
      <c r="K31" s="20">
        <v>10782</v>
      </c>
      <c r="L31" s="20">
        <v>9480</v>
      </c>
      <c r="M31" s="20">
        <v>12940</v>
      </c>
      <c r="N31" s="20">
        <v>8165</v>
      </c>
      <c r="O31" s="20">
        <v>15810</v>
      </c>
      <c r="P31" s="20">
        <v>19507</v>
      </c>
      <c r="Q31" s="51">
        <v>9500</v>
      </c>
      <c r="R31" s="51">
        <v>15400</v>
      </c>
      <c r="S31" s="51">
        <v>15400</v>
      </c>
      <c r="T31" s="51">
        <v>25000</v>
      </c>
      <c r="U31" s="51">
        <v>25000</v>
      </c>
      <c r="V31" s="51">
        <v>30000</v>
      </c>
      <c r="W31" s="63" t="s">
        <v>131</v>
      </c>
    </row>
    <row r="32" spans="1:28" ht="15" customHeight="1" x14ac:dyDescent="0.25">
      <c r="A32" t="s">
        <v>44</v>
      </c>
      <c r="C32" s="72">
        <v>0.66</v>
      </c>
      <c r="D32" s="34">
        <v>0.67</v>
      </c>
      <c r="E32" s="34">
        <v>0.62</v>
      </c>
      <c r="F32" s="34">
        <v>0.62</v>
      </c>
      <c r="G32" s="34">
        <v>0.62</v>
      </c>
      <c r="H32" s="34">
        <v>0.62</v>
      </c>
      <c r="I32" s="34">
        <v>0.62</v>
      </c>
      <c r="J32" s="34">
        <v>0.62</v>
      </c>
      <c r="K32" s="20">
        <v>0.67</v>
      </c>
      <c r="L32" s="20">
        <v>0.66</v>
      </c>
      <c r="M32" s="20">
        <v>0.67</v>
      </c>
      <c r="N32" s="20">
        <v>0.83</v>
      </c>
      <c r="O32" s="20">
        <v>0.61</v>
      </c>
      <c r="P32" s="20">
        <v>0.61</v>
      </c>
      <c r="Q32" s="51">
        <v>0.77</v>
      </c>
      <c r="R32" s="51">
        <v>0.67</v>
      </c>
      <c r="S32" s="51">
        <v>0.67</v>
      </c>
      <c r="T32" s="51">
        <v>0.8</v>
      </c>
      <c r="U32" s="51">
        <v>0.8</v>
      </c>
      <c r="V32" s="51">
        <v>0.62</v>
      </c>
      <c r="W32" s="63" t="s">
        <v>132</v>
      </c>
    </row>
    <row r="33" spans="1:23" ht="15" customHeight="1" x14ac:dyDescent="0.25">
      <c r="A33" t="s">
        <v>76</v>
      </c>
      <c r="C33" s="72">
        <v>0.66</v>
      </c>
      <c r="D33" s="34">
        <v>0.67</v>
      </c>
      <c r="E33" s="34">
        <v>0.62</v>
      </c>
      <c r="F33" s="34">
        <v>0.62</v>
      </c>
      <c r="G33" s="34">
        <v>0.62</v>
      </c>
      <c r="H33" s="34">
        <v>0.62</v>
      </c>
      <c r="I33" s="34">
        <v>0.62</v>
      </c>
      <c r="J33" s="34">
        <v>0.62</v>
      </c>
      <c r="K33" s="20">
        <v>0.67</v>
      </c>
      <c r="L33" s="20">
        <v>0.66</v>
      </c>
      <c r="M33" s="20">
        <v>0.67</v>
      </c>
      <c r="N33" s="20">
        <v>0.83</v>
      </c>
      <c r="O33" s="20">
        <v>0.61</v>
      </c>
      <c r="P33" s="20">
        <v>0.61</v>
      </c>
      <c r="Q33" s="51">
        <v>0.77</v>
      </c>
      <c r="R33" s="51">
        <v>0.67</v>
      </c>
      <c r="S33" s="51">
        <v>0.67</v>
      </c>
      <c r="T33" s="51">
        <v>0.8</v>
      </c>
      <c r="U33" s="51">
        <v>0.8</v>
      </c>
      <c r="V33" s="51">
        <v>0.62</v>
      </c>
      <c r="W33" s="63" t="s">
        <v>132</v>
      </c>
    </row>
    <row r="34" spans="1:23" ht="15" customHeight="1" x14ac:dyDescent="0.25">
      <c r="A34" t="s">
        <v>28</v>
      </c>
      <c r="B34" t="s">
        <v>4</v>
      </c>
      <c r="C34" s="72">
        <v>2750</v>
      </c>
      <c r="D34" s="34">
        <v>1488</v>
      </c>
      <c r="E34" s="34">
        <v>1488</v>
      </c>
      <c r="F34" s="34">
        <v>1488</v>
      </c>
      <c r="G34" s="34">
        <v>1800</v>
      </c>
      <c r="H34" s="34">
        <v>1900</v>
      </c>
      <c r="I34" s="34">
        <v>1900</v>
      </c>
      <c r="J34" s="34">
        <v>1900</v>
      </c>
      <c r="K34" s="20">
        <v>1696</v>
      </c>
      <c r="L34" s="20">
        <v>1905</v>
      </c>
      <c r="M34" s="20">
        <v>1696</v>
      </c>
      <c r="N34" s="20">
        <v>989</v>
      </c>
      <c r="O34" s="20">
        <v>1769</v>
      </c>
      <c r="P34" s="20">
        <v>1900</v>
      </c>
      <c r="Q34" s="51">
        <v>1217</v>
      </c>
      <c r="R34" s="51">
        <v>1494</v>
      </c>
      <c r="S34" s="51">
        <v>1494</v>
      </c>
      <c r="T34" s="51">
        <v>3650</v>
      </c>
      <c r="U34" s="51">
        <v>3650</v>
      </c>
      <c r="V34" s="51">
        <v>3500</v>
      </c>
      <c r="W34" s="63" t="s">
        <v>133</v>
      </c>
    </row>
    <row r="35" spans="1:23" ht="15" customHeight="1" x14ac:dyDescent="0.25">
      <c r="A35" t="s">
        <v>6</v>
      </c>
      <c r="B35" t="s">
        <v>7</v>
      </c>
      <c r="C35" s="72">
        <v>1</v>
      </c>
      <c r="D35" s="34">
        <v>2</v>
      </c>
      <c r="E35" s="34">
        <v>2</v>
      </c>
      <c r="F35" s="34">
        <v>1</v>
      </c>
      <c r="G35" s="34">
        <v>1</v>
      </c>
      <c r="H35" s="34">
        <v>2</v>
      </c>
      <c r="I35" s="34">
        <v>2</v>
      </c>
      <c r="J35" s="34">
        <v>1</v>
      </c>
      <c r="K35" s="20">
        <v>2</v>
      </c>
      <c r="L35" s="20">
        <v>2</v>
      </c>
      <c r="M35" s="20">
        <v>1</v>
      </c>
      <c r="N35" s="20">
        <v>2</v>
      </c>
      <c r="O35" s="20">
        <v>2</v>
      </c>
      <c r="P35" s="20">
        <v>1</v>
      </c>
      <c r="Q35" s="51">
        <v>2</v>
      </c>
      <c r="R35" s="51">
        <v>2</v>
      </c>
      <c r="S35" s="51">
        <v>2</v>
      </c>
      <c r="T35" s="51">
        <v>2</v>
      </c>
      <c r="U35" s="51">
        <v>4</v>
      </c>
      <c r="V35" s="51">
        <v>2</v>
      </c>
      <c r="W35" s="63" t="s">
        <v>134</v>
      </c>
    </row>
    <row r="36" spans="1:23" ht="15" customHeight="1" x14ac:dyDescent="0.25">
      <c r="H36" s="33"/>
      <c r="I36" s="33"/>
      <c r="J36" s="33"/>
      <c r="K36" s="23"/>
      <c r="L36" s="23"/>
      <c r="M36" s="23"/>
      <c r="N36" s="23"/>
      <c r="O36" s="23"/>
      <c r="P36" s="23"/>
      <c r="Q36" s="41"/>
      <c r="R36" s="41"/>
      <c r="S36" s="41"/>
      <c r="T36" s="41"/>
      <c r="U36" s="41"/>
      <c r="V36" s="41"/>
    </row>
    <row r="37" spans="1:23" ht="15" customHeight="1" x14ac:dyDescent="0.25">
      <c r="A37" t="s">
        <v>3</v>
      </c>
      <c r="B37" t="s">
        <v>4</v>
      </c>
      <c r="C37" s="72">
        <v>100</v>
      </c>
      <c r="D37" s="34">
        <v>100</v>
      </c>
      <c r="E37" s="34">
        <v>100</v>
      </c>
      <c r="F37" s="34">
        <v>100</v>
      </c>
      <c r="G37" s="34">
        <v>100</v>
      </c>
      <c r="H37" s="34">
        <v>100</v>
      </c>
      <c r="I37" s="34">
        <v>200</v>
      </c>
      <c r="J37" s="34">
        <v>100</v>
      </c>
      <c r="K37" s="34">
        <v>100</v>
      </c>
      <c r="L37" s="34">
        <v>200</v>
      </c>
      <c r="M37" s="47">
        <v>100</v>
      </c>
      <c r="N37" s="34">
        <v>100</v>
      </c>
      <c r="O37" s="34">
        <v>100</v>
      </c>
      <c r="P37" s="34">
        <v>100</v>
      </c>
      <c r="Q37" s="51">
        <v>100</v>
      </c>
      <c r="R37" s="51">
        <v>100</v>
      </c>
      <c r="S37" s="51">
        <v>200</v>
      </c>
      <c r="T37" s="51">
        <v>400</v>
      </c>
      <c r="U37" s="51">
        <v>400</v>
      </c>
      <c r="V37" s="51">
        <v>200</v>
      </c>
      <c r="W37" s="65" t="s">
        <v>112</v>
      </c>
    </row>
    <row r="38" spans="1:23" ht="15" customHeight="1" x14ac:dyDescent="0.25">
      <c r="A38" t="s">
        <v>38</v>
      </c>
      <c r="B38" t="s">
        <v>4</v>
      </c>
      <c r="C38" s="72">
        <v>150</v>
      </c>
      <c r="D38" s="34">
        <v>150</v>
      </c>
      <c r="E38" s="34">
        <v>150</v>
      </c>
      <c r="F38" s="34">
        <v>150</v>
      </c>
      <c r="G38" s="34">
        <v>150</v>
      </c>
      <c r="H38" s="34">
        <v>150</v>
      </c>
      <c r="I38" s="34">
        <v>150</v>
      </c>
      <c r="J38" s="34">
        <v>150</v>
      </c>
      <c r="K38" s="20">
        <v>118</v>
      </c>
      <c r="L38" s="20">
        <v>118</v>
      </c>
      <c r="M38" s="20">
        <v>118</v>
      </c>
      <c r="N38" s="20">
        <v>118</v>
      </c>
      <c r="O38" s="20">
        <v>118</v>
      </c>
      <c r="P38" s="20">
        <v>39</v>
      </c>
      <c r="Q38" s="51">
        <v>150</v>
      </c>
      <c r="R38" s="51">
        <v>150</v>
      </c>
      <c r="S38" s="51">
        <v>150</v>
      </c>
      <c r="T38" s="51">
        <v>0</v>
      </c>
      <c r="U38" s="51">
        <v>0</v>
      </c>
      <c r="V38" s="51">
        <v>0</v>
      </c>
      <c r="W38" s="63" t="s">
        <v>135</v>
      </c>
    </row>
    <row r="39" spans="1:23" ht="15" customHeight="1" x14ac:dyDescent="0.25">
      <c r="A39" t="s">
        <v>29</v>
      </c>
      <c r="B39" t="s">
        <v>4</v>
      </c>
      <c r="C39" s="72">
        <v>700</v>
      </c>
      <c r="D39" s="34">
        <v>716</v>
      </c>
      <c r="E39" s="34">
        <v>980</v>
      </c>
      <c r="F39" s="34">
        <v>600</v>
      </c>
      <c r="G39" s="34">
        <v>600</v>
      </c>
      <c r="H39" s="34">
        <v>920</v>
      </c>
      <c r="I39" s="34">
        <v>3370</v>
      </c>
      <c r="J39" s="34">
        <v>920</v>
      </c>
      <c r="K39" s="20">
        <v>1095</v>
      </c>
      <c r="L39" s="20">
        <v>1100</v>
      </c>
      <c r="M39" s="20">
        <v>488</v>
      </c>
      <c r="N39" s="20">
        <v>1095</v>
      </c>
      <c r="O39" s="20">
        <v>1116</v>
      </c>
      <c r="P39" s="20">
        <v>488</v>
      </c>
      <c r="Q39" s="51">
        <v>950</v>
      </c>
      <c r="R39" s="51">
        <v>950</v>
      </c>
      <c r="S39" s="51">
        <v>3000</v>
      </c>
      <c r="T39" s="51">
        <v>12000</v>
      </c>
      <c r="U39" s="51">
        <v>22400</v>
      </c>
      <c r="V39" s="51">
        <v>16600</v>
      </c>
      <c r="W39" s="63" t="s">
        <v>136</v>
      </c>
    </row>
    <row r="40" spans="1:23" ht="15" customHeight="1" x14ac:dyDescent="0.25">
      <c r="A40" t="s">
        <v>30</v>
      </c>
      <c r="B40" t="s">
        <v>4</v>
      </c>
      <c r="C40" s="72">
        <v>726</v>
      </c>
      <c r="D40" s="34">
        <v>1938</v>
      </c>
      <c r="E40" s="34">
        <v>2950</v>
      </c>
      <c r="F40" s="34">
        <v>1580</v>
      </c>
      <c r="G40" s="34">
        <v>600</v>
      </c>
      <c r="H40" s="34">
        <v>920</v>
      </c>
      <c r="I40" s="34">
        <v>3370</v>
      </c>
      <c r="J40" s="34">
        <v>920</v>
      </c>
      <c r="K40" s="20"/>
      <c r="L40" s="20"/>
      <c r="M40" s="20"/>
      <c r="N40" s="20"/>
      <c r="O40" s="20">
        <v>4900</v>
      </c>
      <c r="P40" s="20">
        <v>2585</v>
      </c>
      <c r="Q40" s="51"/>
      <c r="R40" s="51"/>
      <c r="S40" s="51">
        <v>6000</v>
      </c>
      <c r="T40" s="51">
        <v>0</v>
      </c>
      <c r="U40" s="51">
        <v>0</v>
      </c>
      <c r="V40" s="51"/>
      <c r="W40" s="63" t="s">
        <v>184</v>
      </c>
    </row>
    <row r="41" spans="1:23" ht="15" customHeight="1" x14ac:dyDescent="0.25">
      <c r="A41" t="s">
        <v>24</v>
      </c>
      <c r="B41" t="s">
        <v>4</v>
      </c>
      <c r="C41" s="72">
        <v>2500</v>
      </c>
      <c r="D41" s="34">
        <v>6000</v>
      </c>
      <c r="E41" s="34">
        <v>6000</v>
      </c>
      <c r="F41" s="34">
        <v>5000</v>
      </c>
      <c r="G41" s="34">
        <v>5000</v>
      </c>
      <c r="H41" s="34">
        <v>0</v>
      </c>
      <c r="I41" s="34">
        <v>12460</v>
      </c>
      <c r="J41" s="34">
        <v>5000</v>
      </c>
      <c r="K41" s="20">
        <v>7257</v>
      </c>
      <c r="L41" s="20">
        <v>6580</v>
      </c>
      <c r="M41" s="20">
        <v>8855</v>
      </c>
      <c r="N41" s="20">
        <v>7031</v>
      </c>
      <c r="O41" s="20">
        <v>6770</v>
      </c>
      <c r="P41" s="20">
        <v>8165</v>
      </c>
      <c r="Q41" s="51">
        <v>5000</v>
      </c>
      <c r="R41" s="51">
        <v>6500</v>
      </c>
      <c r="S41" s="51">
        <v>12000</v>
      </c>
      <c r="T41" s="51">
        <v>24000</v>
      </c>
      <c r="U41" s="51">
        <v>45000</v>
      </c>
      <c r="V41" s="51">
        <v>30000</v>
      </c>
      <c r="W41" s="63" t="s">
        <v>137</v>
      </c>
    </row>
    <row r="42" spans="1:23" ht="15" customHeight="1" x14ac:dyDescent="0.25">
      <c r="A42" t="s">
        <v>0</v>
      </c>
      <c r="B42" t="s">
        <v>4</v>
      </c>
      <c r="C42" s="34">
        <v>4765</v>
      </c>
      <c r="D42" s="36">
        <f t="shared" ref="C42:J42" si="76">D34*D35*2</f>
        <v>5952</v>
      </c>
      <c r="E42" s="36">
        <f t="shared" si="76"/>
        <v>5952</v>
      </c>
      <c r="F42" s="36">
        <f t="shared" si="76"/>
        <v>2976</v>
      </c>
      <c r="G42" s="36">
        <f t="shared" ref="G42" si="77">G34*G35*2</f>
        <v>3600</v>
      </c>
      <c r="H42" s="36">
        <f t="shared" si="76"/>
        <v>7600</v>
      </c>
      <c r="I42" s="36">
        <f t="shared" si="76"/>
        <v>7600</v>
      </c>
      <c r="J42" s="36">
        <f t="shared" si="76"/>
        <v>3800</v>
      </c>
      <c r="K42" s="22">
        <f t="shared" ref="K42:R42" si="78">K34*K35*2</f>
        <v>6784</v>
      </c>
      <c r="L42" s="22">
        <f t="shared" ref="L42" si="79">L34*L35*2</f>
        <v>7620</v>
      </c>
      <c r="M42" s="22">
        <f t="shared" si="78"/>
        <v>3392</v>
      </c>
      <c r="N42" s="22">
        <f t="shared" si="78"/>
        <v>3956</v>
      </c>
      <c r="O42" s="22">
        <f t="shared" si="78"/>
        <v>7076</v>
      </c>
      <c r="P42" s="22">
        <f t="shared" si="78"/>
        <v>3800</v>
      </c>
      <c r="Q42" s="22">
        <f t="shared" si="78"/>
        <v>4868</v>
      </c>
      <c r="R42" s="22">
        <f t="shared" si="78"/>
        <v>5976</v>
      </c>
      <c r="S42" s="22">
        <f t="shared" ref="S42:V42" si="80">S34*S35*2</f>
        <v>5976</v>
      </c>
      <c r="T42" s="22">
        <f t="shared" si="80"/>
        <v>14600</v>
      </c>
      <c r="U42" s="22">
        <f t="shared" si="80"/>
        <v>29200</v>
      </c>
      <c r="V42" s="22">
        <f t="shared" si="80"/>
        <v>14000</v>
      </c>
      <c r="W42" s="63" t="s">
        <v>138</v>
      </c>
    </row>
    <row r="43" spans="1:23" ht="15" customHeight="1" x14ac:dyDescent="0.25">
      <c r="D43" s="40"/>
      <c r="E43" s="40"/>
      <c r="F43" s="40"/>
      <c r="G43" s="40"/>
      <c r="H43" s="40"/>
      <c r="I43" s="40"/>
      <c r="J43" s="40"/>
      <c r="K43" s="19"/>
      <c r="L43" s="19"/>
      <c r="N43" s="19"/>
      <c r="O43" s="19"/>
      <c r="P43" s="19"/>
      <c r="Q43" s="41"/>
      <c r="R43" s="41"/>
      <c r="S43" s="41"/>
      <c r="T43" s="41"/>
      <c r="U43" s="41"/>
      <c r="V43" s="41"/>
    </row>
    <row r="44" spans="1:23" ht="15" customHeight="1" x14ac:dyDescent="0.25">
      <c r="A44" t="s">
        <v>1</v>
      </c>
      <c r="C44" s="34">
        <v>0.25</v>
      </c>
      <c r="D44" s="34">
        <v>0.25</v>
      </c>
      <c r="E44" s="34">
        <v>0.25</v>
      </c>
      <c r="F44" s="34">
        <v>0.25</v>
      </c>
      <c r="G44" s="34">
        <v>0.25</v>
      </c>
      <c r="H44" s="34">
        <v>0.25</v>
      </c>
      <c r="I44" s="34">
        <v>0.25</v>
      </c>
      <c r="J44" s="34">
        <v>0.25</v>
      </c>
      <c r="K44" s="34">
        <v>0.25</v>
      </c>
      <c r="L44" s="34">
        <v>0.25</v>
      </c>
      <c r="M44" s="34">
        <v>0.25</v>
      </c>
      <c r="N44" s="34">
        <v>0.25</v>
      </c>
      <c r="O44" s="34">
        <v>0.25</v>
      </c>
      <c r="P44" s="34">
        <v>0.25</v>
      </c>
      <c r="Q44" s="34">
        <v>0.25</v>
      </c>
      <c r="R44" s="34">
        <v>0.25</v>
      </c>
      <c r="S44" s="34">
        <v>0.25</v>
      </c>
      <c r="T44" s="34">
        <v>0.25</v>
      </c>
      <c r="U44" s="34">
        <v>0.25</v>
      </c>
      <c r="V44" s="34">
        <v>0.25</v>
      </c>
      <c r="W44" s="63" t="s">
        <v>139</v>
      </c>
    </row>
    <row r="45" spans="1:23" ht="15" customHeight="1" x14ac:dyDescent="0.25">
      <c r="A45" t="s">
        <v>36</v>
      </c>
      <c r="C45" s="34">
        <v>3.5000000000000003E-2</v>
      </c>
      <c r="D45" s="34">
        <v>3.5000000000000003E-2</v>
      </c>
      <c r="E45" s="34">
        <v>3.5000000000000003E-2</v>
      </c>
      <c r="F45" s="34">
        <v>3.5000000000000003E-2</v>
      </c>
      <c r="G45" s="34">
        <v>3.5000000000000003E-2</v>
      </c>
      <c r="H45" s="34">
        <v>3.5000000000000003E-2</v>
      </c>
      <c r="I45" s="34">
        <v>3.5000000000000003E-2</v>
      </c>
      <c r="J45" s="34">
        <v>3.5000000000000003E-2</v>
      </c>
      <c r="K45" s="34">
        <v>3.5000000000000003E-2</v>
      </c>
      <c r="L45" s="34">
        <v>3.5000000000000003E-2</v>
      </c>
      <c r="M45" s="34">
        <v>3.5000000000000003E-2</v>
      </c>
      <c r="N45" s="34">
        <v>3.5000000000000003E-2</v>
      </c>
      <c r="O45" s="34">
        <v>3.5000000000000003E-2</v>
      </c>
      <c r="P45" s="34">
        <v>3.5000000000000003E-2</v>
      </c>
      <c r="Q45" s="34">
        <v>3.5000000000000003E-2</v>
      </c>
      <c r="R45" s="34">
        <v>3.5000000000000003E-2</v>
      </c>
      <c r="S45" s="34">
        <v>3.5000000000000003E-2</v>
      </c>
      <c r="T45" s="34">
        <v>3.5000000000000003E-2</v>
      </c>
      <c r="U45" s="34">
        <v>3.5000000000000003E-2</v>
      </c>
      <c r="V45" s="34">
        <v>3.5000000000000003E-2</v>
      </c>
      <c r="W45" s="63" t="s">
        <v>140</v>
      </c>
    </row>
    <row r="46" spans="1:23" ht="15" customHeight="1" x14ac:dyDescent="0.25">
      <c r="A46" t="s">
        <v>2</v>
      </c>
      <c r="C46" s="34">
        <v>0.11</v>
      </c>
      <c r="D46" s="34">
        <v>0.11</v>
      </c>
      <c r="E46" s="34">
        <v>0.11</v>
      </c>
      <c r="F46" s="34">
        <v>0.11</v>
      </c>
      <c r="G46" s="34">
        <v>0.11</v>
      </c>
      <c r="H46" s="34">
        <v>0.11</v>
      </c>
      <c r="I46" s="34">
        <v>0.11</v>
      </c>
      <c r="J46" s="34">
        <v>0.11</v>
      </c>
      <c r="K46" s="34">
        <v>0.11</v>
      </c>
      <c r="L46" s="34">
        <v>0.11</v>
      </c>
      <c r="M46" s="34">
        <v>0.11</v>
      </c>
      <c r="N46" s="34">
        <v>0.11</v>
      </c>
      <c r="O46" s="34">
        <v>0.11</v>
      </c>
      <c r="P46" s="34">
        <v>0.11</v>
      </c>
      <c r="Q46" s="34">
        <v>0.11</v>
      </c>
      <c r="R46" s="34">
        <v>0.11</v>
      </c>
      <c r="S46" s="34">
        <v>0.11</v>
      </c>
      <c r="T46" s="34">
        <v>0.11</v>
      </c>
      <c r="U46" s="34">
        <v>0.11</v>
      </c>
      <c r="V46" s="34">
        <v>0.11</v>
      </c>
      <c r="W46" s="63" t="s">
        <v>141</v>
      </c>
    </row>
    <row r="47" spans="1:23" ht="15" customHeight="1" x14ac:dyDescent="0.25">
      <c r="A47" t="s">
        <v>94</v>
      </c>
      <c r="C47" s="36">
        <f>C25/C85</f>
        <v>0.2422371641706382</v>
      </c>
      <c r="D47" s="36">
        <f>D25/D85</f>
        <v>0.34425707686116741</v>
      </c>
      <c r="E47" s="36">
        <f t="shared" ref="E47:P47" si="81">E25/E85</f>
        <v>0.38840680949617717</v>
      </c>
      <c r="F47" s="36">
        <f t="shared" ref="F47:G47" si="82">F25/F85</f>
        <v>0.35654484609220177</v>
      </c>
      <c r="G47" s="36">
        <f t="shared" si="82"/>
        <v>0.2708276059835002</v>
      </c>
      <c r="H47" s="36">
        <f t="shared" si="81"/>
        <v>0.48741240173220668</v>
      </c>
      <c r="I47" s="36">
        <f t="shared" ref="I47:J47" si="83">I25/I85</f>
        <v>0.52555647025073371</v>
      </c>
      <c r="J47" s="36">
        <f t="shared" si="83"/>
        <v>0.41128648895834957</v>
      </c>
      <c r="K47" s="36">
        <f t="shared" si="81"/>
        <v>0.22669488314189934</v>
      </c>
      <c r="L47" s="36">
        <f t="shared" ref="L47" si="84">L25/L85</f>
        <v>0.27387486451261023</v>
      </c>
      <c r="M47" s="36">
        <f t="shared" ref="M47" si="85">M25/M85</f>
        <v>0.25123534469026026</v>
      </c>
      <c r="N47" s="36">
        <f t="shared" ref="N47" si="86">N25/N85</f>
        <v>0.29042017122548042</v>
      </c>
      <c r="O47" s="36">
        <f t="shared" si="81"/>
        <v>0.32683728537619133</v>
      </c>
      <c r="P47" s="36">
        <f t="shared" si="81"/>
        <v>0.40274453190204512</v>
      </c>
      <c r="Q47" s="36">
        <f t="shared" ref="Q47:R47" si="87">Q25/Q85</f>
        <v>0.43042296731522323</v>
      </c>
      <c r="R47" s="36">
        <f t="shared" si="87"/>
        <v>0.42274875848818599</v>
      </c>
      <c r="S47" s="36">
        <f t="shared" ref="S47:V47" si="88">S25/S85</f>
        <v>0.57085628445150571</v>
      </c>
      <c r="T47" s="36">
        <f t="shared" si="88"/>
        <v>0.5328299536309079</v>
      </c>
      <c r="U47" s="36">
        <f t="shared" si="88"/>
        <v>0.61503795222159452</v>
      </c>
      <c r="V47" s="36">
        <f t="shared" si="88"/>
        <v>0.57570287464175041</v>
      </c>
      <c r="W47" s="63" t="s">
        <v>142</v>
      </c>
    </row>
    <row r="48" spans="1:23" ht="15" customHeight="1" x14ac:dyDescent="0.25">
      <c r="A48" t="s">
        <v>61</v>
      </c>
      <c r="C48" s="34">
        <v>0.14000000000000001</v>
      </c>
      <c r="D48" s="34">
        <v>0.14000000000000001</v>
      </c>
      <c r="E48" s="34">
        <v>0.14000000000000001</v>
      </c>
      <c r="F48" s="34">
        <v>0.14000000000000001</v>
      </c>
      <c r="G48" s="34">
        <v>0.14000000000000001</v>
      </c>
      <c r="H48" s="34">
        <v>0.14000000000000001</v>
      </c>
      <c r="I48" s="34">
        <v>0.14000000000000001</v>
      </c>
      <c r="J48" s="34">
        <v>0.14000000000000001</v>
      </c>
      <c r="K48" s="34">
        <v>0.14000000000000001</v>
      </c>
      <c r="L48" s="34">
        <v>0.14000000000000001</v>
      </c>
      <c r="M48" s="34">
        <v>0.14000000000000001</v>
      </c>
      <c r="N48" s="34">
        <v>0.14000000000000001</v>
      </c>
      <c r="O48" s="34">
        <v>0.14000000000000001</v>
      </c>
      <c r="P48" s="34">
        <v>0.14000000000000001</v>
      </c>
      <c r="Q48" s="34">
        <v>0.14000000000000001</v>
      </c>
      <c r="R48" s="34">
        <v>0.14000000000000001</v>
      </c>
      <c r="S48" s="34">
        <v>0.14000000000000001</v>
      </c>
      <c r="T48" s="34">
        <v>0.14000000000000001</v>
      </c>
      <c r="U48" s="34">
        <v>0.14000000000000001</v>
      </c>
      <c r="V48" s="34">
        <v>0.14000000000000001</v>
      </c>
      <c r="W48" s="63" t="s">
        <v>143</v>
      </c>
    </row>
    <row r="49" spans="1:23" ht="15" customHeight="1" x14ac:dyDescent="0.25">
      <c r="A49" s="2"/>
      <c r="H49" s="33"/>
      <c r="I49" s="33"/>
      <c r="J49" s="33"/>
      <c r="K49" s="17"/>
      <c r="L49" s="17"/>
      <c r="M49" s="17"/>
      <c r="N49" s="17"/>
      <c r="O49" s="19"/>
      <c r="P49" s="19"/>
      <c r="Q49" s="41"/>
      <c r="R49" s="41"/>
      <c r="S49" s="41"/>
      <c r="T49" s="41"/>
      <c r="U49" s="41"/>
      <c r="V49" s="41"/>
    </row>
    <row r="50" spans="1:23" ht="15" customHeight="1" x14ac:dyDescent="0.25">
      <c r="A50" s="2" t="s">
        <v>32</v>
      </c>
      <c r="H50" s="33"/>
      <c r="I50" s="33"/>
      <c r="J50" s="33"/>
      <c r="K50" s="17"/>
      <c r="L50" s="17"/>
      <c r="M50" s="17"/>
      <c r="N50" s="17"/>
      <c r="O50" s="19"/>
      <c r="P50" s="19"/>
      <c r="Q50" s="41"/>
      <c r="R50" s="41"/>
      <c r="S50" s="41"/>
      <c r="T50" s="41"/>
      <c r="U50" s="41"/>
      <c r="V50" s="41"/>
      <c r="W50" s="65" t="s">
        <v>144</v>
      </c>
    </row>
    <row r="51" spans="1:23" ht="15" customHeight="1" x14ac:dyDescent="0.25">
      <c r="A51" t="s">
        <v>14</v>
      </c>
      <c r="B51" t="s">
        <v>10</v>
      </c>
      <c r="C51" s="72">
        <v>37.46</v>
      </c>
      <c r="D51" s="34">
        <v>58.53</v>
      </c>
      <c r="E51" s="34">
        <v>68.84</v>
      </c>
      <c r="F51" s="34">
        <v>34.4</v>
      </c>
      <c r="G51" s="34">
        <v>34.4</v>
      </c>
      <c r="H51" s="34">
        <v>50.8</v>
      </c>
      <c r="I51" s="34">
        <v>146</v>
      </c>
      <c r="J51" s="34">
        <v>50</v>
      </c>
      <c r="K51" s="20">
        <v>51.63</v>
      </c>
      <c r="L51" s="20">
        <v>61.08</v>
      </c>
      <c r="M51" s="20">
        <v>27.3</v>
      </c>
      <c r="N51" s="20">
        <v>31.06</v>
      </c>
      <c r="O51" s="20">
        <v>56.72</v>
      </c>
      <c r="P51" s="20">
        <v>37.79</v>
      </c>
      <c r="Q51" s="51">
        <v>40.520000000000003</v>
      </c>
      <c r="R51" s="51">
        <v>66.900000000000006</v>
      </c>
      <c r="S51" s="51">
        <v>138</v>
      </c>
      <c r="T51" s="51">
        <v>161.19999999999999</v>
      </c>
      <c r="U51" s="51">
        <v>361</v>
      </c>
      <c r="V51" s="51">
        <v>221</v>
      </c>
      <c r="W51" s="63" t="s">
        <v>115</v>
      </c>
    </row>
    <row r="52" spans="1:23" ht="15" customHeight="1" x14ac:dyDescent="0.25">
      <c r="A52" t="s">
        <v>15</v>
      </c>
      <c r="B52" t="s">
        <v>10</v>
      </c>
      <c r="C52" s="72">
        <v>28.92</v>
      </c>
      <c r="D52" s="34">
        <v>30.23</v>
      </c>
      <c r="E52" s="34">
        <v>24.86</v>
      </c>
      <c r="F52" s="34">
        <v>17</v>
      </c>
      <c r="G52" s="34">
        <v>17</v>
      </c>
      <c r="H52" s="34">
        <v>34.5</v>
      </c>
      <c r="I52" s="34">
        <v>56.95</v>
      </c>
      <c r="J52" s="34">
        <v>30</v>
      </c>
      <c r="K52" s="20">
        <v>26.71</v>
      </c>
      <c r="L52" s="20">
        <v>29.82</v>
      </c>
      <c r="M52" s="20">
        <v>19.14</v>
      </c>
      <c r="N52" s="20">
        <v>24.08</v>
      </c>
      <c r="O52" s="20">
        <v>26.93</v>
      </c>
      <c r="P52" s="20">
        <v>23.85</v>
      </c>
      <c r="Q52" s="51">
        <v>21.81</v>
      </c>
      <c r="R52" s="51">
        <v>30.13</v>
      </c>
      <c r="S52" s="51">
        <v>52.1</v>
      </c>
      <c r="T52" s="51">
        <v>96.14</v>
      </c>
      <c r="U52" s="51">
        <v>134.44</v>
      </c>
      <c r="V52" s="51">
        <v>106.13</v>
      </c>
      <c r="W52" s="63" t="s">
        <v>114</v>
      </c>
    </row>
    <row r="53" spans="1:23" ht="15" customHeight="1" x14ac:dyDescent="0.25">
      <c r="A53" t="s">
        <v>16</v>
      </c>
      <c r="B53" t="s">
        <v>10</v>
      </c>
      <c r="C53" s="72">
        <v>5.09</v>
      </c>
      <c r="D53" s="34">
        <v>6.75</v>
      </c>
      <c r="E53" s="34">
        <v>6.74</v>
      </c>
      <c r="F53" s="34">
        <v>3.72</v>
      </c>
      <c r="G53" s="34">
        <v>3.72</v>
      </c>
      <c r="H53" s="34">
        <v>6.26</v>
      </c>
      <c r="I53" s="34">
        <v>12.35</v>
      </c>
      <c r="J53" s="34">
        <v>4.5999999999999996</v>
      </c>
      <c r="K53" s="20">
        <v>6.11</v>
      </c>
      <c r="L53" s="20">
        <v>3.87</v>
      </c>
      <c r="M53" s="20">
        <v>2.92</v>
      </c>
      <c r="N53" s="20">
        <v>4.28</v>
      </c>
      <c r="O53" s="20">
        <v>6.4</v>
      </c>
      <c r="P53" s="20">
        <v>6.12</v>
      </c>
      <c r="Q53" s="51">
        <v>4.53</v>
      </c>
      <c r="R53" s="51">
        <v>6.14</v>
      </c>
      <c r="S53" s="51">
        <v>11.4</v>
      </c>
      <c r="T53" s="51">
        <v>14.38</v>
      </c>
      <c r="U53" s="51">
        <v>34.4</v>
      </c>
      <c r="V53" s="51">
        <v>13.7</v>
      </c>
      <c r="W53" s="64" t="s">
        <v>116</v>
      </c>
    </row>
    <row r="54" spans="1:23" ht="15" customHeight="1" x14ac:dyDescent="0.25">
      <c r="A54" s="1" t="s">
        <v>33</v>
      </c>
      <c r="B54" s="1" t="s">
        <v>18</v>
      </c>
      <c r="C54" s="36">
        <f t="shared" ref="C54" si="89">(POWER(C51*C52*C53,1/3))*2</f>
        <v>35.333875706717343</v>
      </c>
      <c r="D54" s="36">
        <f t="shared" ref="D54:J54" si="90">(POWER(D51*D52*D53,1/3))*2</f>
        <v>45.716202073589251</v>
      </c>
      <c r="E54" s="36">
        <f t="shared" si="90"/>
        <v>45.18878069626043</v>
      </c>
      <c r="F54" s="36">
        <f t="shared" si="90"/>
        <v>25.914734489015576</v>
      </c>
      <c r="G54" s="36">
        <f t="shared" ref="G54" si="91">(POWER(G51*G52*G53,1/3))*2</f>
        <v>25.914734489015576</v>
      </c>
      <c r="H54" s="36">
        <f t="shared" si="90"/>
        <v>44.440851939250344</v>
      </c>
      <c r="I54" s="36">
        <f t="shared" si="90"/>
        <v>93.655763700691736</v>
      </c>
      <c r="J54" s="36">
        <f t="shared" si="90"/>
        <v>38.075565239266062</v>
      </c>
      <c r="K54" s="22">
        <f t="shared" ref="K54:P54" si="92">(POWER(K51*K52*K53,1/3))*2</f>
        <v>40.697625407846225</v>
      </c>
      <c r="L54" s="22">
        <f t="shared" ref="L54" si="93">(POWER(L51*L52*L53,1/3))*2</f>
        <v>38.347395547792281</v>
      </c>
      <c r="M54" s="22">
        <f t="shared" ref="M54" si="94">(POWER(M51*M52*M53,1/3))*2</f>
        <v>23.024620088728106</v>
      </c>
      <c r="N54" s="22">
        <f t="shared" ref="N54" si="95">(POWER(N51*N52*N53,1/3))*2</f>
        <v>29.475684320809023</v>
      </c>
      <c r="O54" s="22">
        <f t="shared" si="92"/>
        <v>42.764248596964457</v>
      </c>
      <c r="P54" s="22">
        <f t="shared" si="92"/>
        <v>35.337478842746492</v>
      </c>
      <c r="Q54" s="22">
        <f t="shared" ref="Q54:R54" si="96">(POWER(Q51*Q52*Q53,1/3))*2</f>
        <v>31.756875304598438</v>
      </c>
      <c r="R54" s="22">
        <f t="shared" si="96"/>
        <v>46.262369092398828</v>
      </c>
      <c r="S54" s="22">
        <f t="shared" ref="S54:V54" si="97">(POWER(S51*S52*S53,1/3))*2</f>
        <v>86.876813370702365</v>
      </c>
      <c r="T54" s="22">
        <f t="shared" si="97"/>
        <v>121.25677390365227</v>
      </c>
      <c r="U54" s="22">
        <f t="shared" si="97"/>
        <v>237.26192248998777</v>
      </c>
      <c r="V54" s="22">
        <f t="shared" si="97"/>
        <v>136.98730782662074</v>
      </c>
      <c r="W54" s="65" t="s">
        <v>117</v>
      </c>
    </row>
    <row r="55" spans="1:23" ht="15" customHeight="1" x14ac:dyDescent="0.25">
      <c r="A55" s="1" t="s">
        <v>9</v>
      </c>
      <c r="B55" s="1" t="s">
        <v>10</v>
      </c>
      <c r="C55" s="36">
        <f t="shared" ref="C55" si="98">C54/0.2</f>
        <v>176.66937853358669</v>
      </c>
      <c r="D55" s="36">
        <f t="shared" ref="D55:J55" si="99">D54/0.2</f>
        <v>228.58101036794625</v>
      </c>
      <c r="E55" s="36">
        <f t="shared" si="99"/>
        <v>225.94390348130213</v>
      </c>
      <c r="F55" s="36">
        <f t="shared" si="99"/>
        <v>129.57367244507788</v>
      </c>
      <c r="G55" s="36">
        <f t="shared" ref="G55" si="100">G54/0.2</f>
        <v>129.57367244507788</v>
      </c>
      <c r="H55" s="36">
        <f t="shared" si="99"/>
        <v>222.20425969625171</v>
      </c>
      <c r="I55" s="36">
        <f t="shared" si="99"/>
        <v>468.27881850345864</v>
      </c>
      <c r="J55" s="36">
        <f t="shared" si="99"/>
        <v>190.37782619633029</v>
      </c>
      <c r="K55" s="22">
        <f t="shared" ref="K55:P55" si="101">K54/0.2</f>
        <v>203.4881270392311</v>
      </c>
      <c r="L55" s="22">
        <f t="shared" ref="L55" si="102">L54/0.2</f>
        <v>191.7369777389614</v>
      </c>
      <c r="M55" s="22">
        <f t="shared" ref="M55" si="103">M54/0.2</f>
        <v>115.12310044364052</v>
      </c>
      <c r="N55" s="22">
        <f t="shared" ref="N55" si="104">N54/0.2</f>
        <v>147.37842160404512</v>
      </c>
      <c r="O55" s="22">
        <f t="shared" si="101"/>
        <v>213.82124298482228</v>
      </c>
      <c r="P55" s="22">
        <f t="shared" si="101"/>
        <v>176.68739421373246</v>
      </c>
      <c r="Q55" s="22">
        <f t="shared" ref="Q55:R55" si="105">Q54/0.2</f>
        <v>158.78437652299218</v>
      </c>
      <c r="R55" s="22">
        <f t="shared" si="105"/>
        <v>231.31184546199412</v>
      </c>
      <c r="S55" s="22">
        <f t="shared" ref="S55:V55" si="106">S54/0.2</f>
        <v>434.3840668535118</v>
      </c>
      <c r="T55" s="22">
        <f t="shared" si="106"/>
        <v>606.28386951826133</v>
      </c>
      <c r="U55" s="22">
        <f t="shared" si="106"/>
        <v>1186.3096124499389</v>
      </c>
      <c r="V55" s="22">
        <f t="shared" si="106"/>
        <v>684.93653913310368</v>
      </c>
      <c r="W55" s="67" t="s">
        <v>118</v>
      </c>
    </row>
    <row r="56" spans="1:23" ht="15" customHeight="1" x14ac:dyDescent="0.25">
      <c r="A56" t="s">
        <v>11</v>
      </c>
      <c r="B56" t="s">
        <v>5</v>
      </c>
      <c r="C56" s="33">
        <v>21</v>
      </c>
      <c r="D56" s="33">
        <v>21</v>
      </c>
      <c r="E56" s="33">
        <v>21</v>
      </c>
      <c r="F56" s="33">
        <v>21</v>
      </c>
      <c r="G56" s="33">
        <v>21</v>
      </c>
      <c r="H56" s="33">
        <v>21</v>
      </c>
      <c r="I56" s="33">
        <v>21</v>
      </c>
      <c r="J56" s="33">
        <v>21</v>
      </c>
      <c r="K56" s="33">
        <v>21</v>
      </c>
      <c r="L56" s="33">
        <v>21</v>
      </c>
      <c r="M56" s="33">
        <v>21</v>
      </c>
      <c r="N56" s="33">
        <v>21</v>
      </c>
      <c r="O56" s="33">
        <v>21</v>
      </c>
      <c r="P56" s="33">
        <v>21</v>
      </c>
      <c r="Q56" s="33">
        <v>21</v>
      </c>
      <c r="R56" s="33">
        <v>21</v>
      </c>
      <c r="S56" s="33">
        <v>21</v>
      </c>
      <c r="T56" s="33">
        <v>21</v>
      </c>
      <c r="U56" s="33">
        <v>21</v>
      </c>
      <c r="V56" s="33">
        <v>21</v>
      </c>
      <c r="W56" s="65" t="s">
        <v>145</v>
      </c>
    </row>
    <row r="57" spans="1:23" ht="15" customHeight="1" x14ac:dyDescent="0.25">
      <c r="A57" s="1" t="s">
        <v>62</v>
      </c>
      <c r="B57" s="1" t="s">
        <v>4</v>
      </c>
      <c r="C57" s="36">
        <f t="shared" ref="C57" si="107">C55*C56</f>
        <v>3710.0569492053205</v>
      </c>
      <c r="D57" s="36">
        <f t="shared" ref="D57:J57" si="108">D55*D56</f>
        <v>4800.2012177268716</v>
      </c>
      <c r="E57" s="36">
        <f t="shared" si="108"/>
        <v>4744.821973107345</v>
      </c>
      <c r="F57" s="36">
        <f t="shared" si="108"/>
        <v>2721.0471213466353</v>
      </c>
      <c r="G57" s="36">
        <f t="shared" ref="G57" si="109">G55*G56</f>
        <v>2721.0471213466353</v>
      </c>
      <c r="H57" s="36">
        <f t="shared" si="108"/>
        <v>4666.2894536212862</v>
      </c>
      <c r="I57" s="36">
        <f t="shared" si="108"/>
        <v>9833.855188572632</v>
      </c>
      <c r="J57" s="36">
        <f t="shared" si="108"/>
        <v>3997.9343501229359</v>
      </c>
      <c r="K57" s="22">
        <f t="shared" ref="K57:R57" si="110">K55*K56</f>
        <v>4273.2506678238533</v>
      </c>
      <c r="L57" s="22">
        <f t="shared" ref="L57" si="111">L55*L56</f>
        <v>4026.4765325181893</v>
      </c>
      <c r="M57" s="22">
        <f t="shared" ref="M57" si="112">M55*M56</f>
        <v>2417.5851093164511</v>
      </c>
      <c r="N57" s="22">
        <f t="shared" ref="N57" si="113">N55*N56</f>
        <v>3094.9468536849472</v>
      </c>
      <c r="O57" s="22">
        <f t="shared" si="110"/>
        <v>4490.246102681268</v>
      </c>
      <c r="P57" s="22">
        <f t="shared" si="110"/>
        <v>3710.4352784883818</v>
      </c>
      <c r="Q57" s="22">
        <f t="shared" si="110"/>
        <v>3334.4719069828357</v>
      </c>
      <c r="R57" s="22">
        <f t="shared" si="110"/>
        <v>4857.5487547018765</v>
      </c>
      <c r="S57" s="22">
        <f t="shared" ref="S57:V57" si="114">S55*S56</f>
        <v>9122.065403923747</v>
      </c>
      <c r="T57" s="22">
        <f t="shared" si="114"/>
        <v>12731.961259883488</v>
      </c>
      <c r="U57" s="22">
        <f t="shared" si="114"/>
        <v>24912.501861448716</v>
      </c>
      <c r="V57" s="22">
        <f t="shared" si="114"/>
        <v>14383.667321795177</v>
      </c>
      <c r="W57" s="63" t="s">
        <v>146</v>
      </c>
    </row>
    <row r="58" spans="1:23" ht="15" customHeight="1" x14ac:dyDescent="0.25">
      <c r="A58" t="s">
        <v>31</v>
      </c>
      <c r="B58" t="s">
        <v>10</v>
      </c>
      <c r="C58" s="72">
        <v>10.145</v>
      </c>
      <c r="D58" s="34">
        <v>17.829999999999998</v>
      </c>
      <c r="E58" s="34">
        <v>14.85</v>
      </c>
      <c r="F58" s="34">
        <v>10.96</v>
      </c>
      <c r="G58" s="34">
        <v>10.96</v>
      </c>
      <c r="H58" s="34">
        <v>34.159999999999997</v>
      </c>
      <c r="I58" s="34">
        <v>22.5</v>
      </c>
      <c r="J58" s="34">
        <v>16.600000000000001</v>
      </c>
      <c r="K58" s="20">
        <v>16.079999999999998</v>
      </c>
      <c r="L58" s="20">
        <v>20.58</v>
      </c>
      <c r="M58" s="20">
        <v>9.14</v>
      </c>
      <c r="N58" s="20">
        <v>13.82</v>
      </c>
      <c r="O58" s="20">
        <v>20.7</v>
      </c>
      <c r="P58" s="20">
        <v>12</v>
      </c>
      <c r="Q58" s="51">
        <v>12.25</v>
      </c>
      <c r="R58" s="51">
        <v>17.190000000000001</v>
      </c>
      <c r="S58" s="51">
        <v>47.31</v>
      </c>
      <c r="T58" s="51">
        <v>63.97</v>
      </c>
      <c r="U58" s="51">
        <v>93.3</v>
      </c>
      <c r="V58" s="51">
        <v>78.95</v>
      </c>
      <c r="W58" s="63" t="s">
        <v>147</v>
      </c>
    </row>
    <row r="59" spans="1:23" ht="15" customHeight="1" x14ac:dyDescent="0.25">
      <c r="A59" t="s">
        <v>12</v>
      </c>
      <c r="B59" t="s">
        <v>5</v>
      </c>
      <c r="C59" s="33">
        <v>32</v>
      </c>
      <c r="D59" s="33">
        <v>32</v>
      </c>
      <c r="E59" s="33">
        <v>32</v>
      </c>
      <c r="F59" s="33">
        <v>32</v>
      </c>
      <c r="G59" s="33">
        <v>32</v>
      </c>
      <c r="H59" s="33">
        <v>32</v>
      </c>
      <c r="I59" s="33">
        <v>32</v>
      </c>
      <c r="J59" s="33">
        <v>32</v>
      </c>
      <c r="K59" s="33">
        <v>32</v>
      </c>
      <c r="L59" s="33">
        <v>32</v>
      </c>
      <c r="M59" s="57">
        <v>32</v>
      </c>
      <c r="N59" s="33">
        <v>32</v>
      </c>
      <c r="O59" s="33">
        <v>32</v>
      </c>
      <c r="P59" s="33">
        <v>32</v>
      </c>
      <c r="Q59" s="33">
        <v>32</v>
      </c>
      <c r="R59" s="33">
        <v>32</v>
      </c>
      <c r="S59" s="33">
        <v>32</v>
      </c>
      <c r="T59" s="33">
        <v>32</v>
      </c>
      <c r="U59" s="33">
        <v>32</v>
      </c>
      <c r="V59" s="33">
        <v>32</v>
      </c>
      <c r="W59" s="65" t="s">
        <v>145</v>
      </c>
    </row>
    <row r="60" spans="1:23" ht="15" customHeight="1" x14ac:dyDescent="0.25">
      <c r="A60" s="1" t="s">
        <v>63</v>
      </c>
      <c r="B60" s="1" t="s">
        <v>4</v>
      </c>
      <c r="C60" s="36">
        <f t="shared" ref="C60" si="115">C58*C59*2</f>
        <v>649.28</v>
      </c>
      <c r="D60" s="36">
        <f t="shared" ref="D60:J60" si="116">D58*D59*2</f>
        <v>1141.1199999999999</v>
      </c>
      <c r="E60" s="36">
        <f t="shared" si="116"/>
        <v>950.4</v>
      </c>
      <c r="F60" s="36">
        <f t="shared" si="116"/>
        <v>701.44</v>
      </c>
      <c r="G60" s="36">
        <f t="shared" ref="G60" si="117">G58*G59*2</f>
        <v>701.44</v>
      </c>
      <c r="H60" s="36">
        <f t="shared" si="116"/>
        <v>2186.2399999999998</v>
      </c>
      <c r="I60" s="36">
        <f t="shared" si="116"/>
        <v>1440</v>
      </c>
      <c r="J60" s="36">
        <f t="shared" si="116"/>
        <v>1062.4000000000001</v>
      </c>
      <c r="K60" s="22">
        <f t="shared" ref="K60:R60" si="118">K58*K59*2</f>
        <v>1029.1199999999999</v>
      </c>
      <c r="L60" s="22">
        <f t="shared" si="118"/>
        <v>1317.12</v>
      </c>
      <c r="M60" s="22">
        <f t="shared" si="118"/>
        <v>584.96</v>
      </c>
      <c r="N60" s="22">
        <f t="shared" ref="N60" si="119">N58*N59*2</f>
        <v>884.48</v>
      </c>
      <c r="O60" s="22">
        <f t="shared" si="118"/>
        <v>1324.8</v>
      </c>
      <c r="P60" s="22">
        <f t="shared" si="118"/>
        <v>768</v>
      </c>
      <c r="Q60" s="22">
        <f t="shared" si="118"/>
        <v>784</v>
      </c>
      <c r="R60" s="22">
        <f t="shared" si="118"/>
        <v>1100.1600000000001</v>
      </c>
      <c r="S60" s="22">
        <f t="shared" ref="S60:V60" si="120">S58*S59*2</f>
        <v>3027.84</v>
      </c>
      <c r="T60" s="22">
        <f t="shared" si="120"/>
        <v>4094.08</v>
      </c>
      <c r="U60" s="22">
        <f t="shared" si="120"/>
        <v>5971.2</v>
      </c>
      <c r="V60" s="22">
        <f t="shared" si="120"/>
        <v>5052.8</v>
      </c>
      <c r="W60" s="63" t="s">
        <v>148</v>
      </c>
    </row>
    <row r="61" spans="1:23" ht="15" customHeight="1" x14ac:dyDescent="0.25">
      <c r="A61" t="s">
        <v>110</v>
      </c>
      <c r="B61" t="s">
        <v>10</v>
      </c>
      <c r="C61" s="72">
        <v>0</v>
      </c>
      <c r="D61" s="34">
        <v>0</v>
      </c>
      <c r="E61" s="34">
        <v>1.4</v>
      </c>
      <c r="F61" s="34">
        <v>0</v>
      </c>
      <c r="G61" s="34">
        <v>0</v>
      </c>
      <c r="H61" s="34">
        <v>5.24</v>
      </c>
      <c r="I61" s="34">
        <v>0</v>
      </c>
      <c r="J61" s="34">
        <v>4.43</v>
      </c>
      <c r="K61" s="20">
        <v>0</v>
      </c>
      <c r="L61" s="20">
        <v>1.67</v>
      </c>
      <c r="M61" s="20">
        <v>0.83</v>
      </c>
      <c r="N61" s="20">
        <v>0</v>
      </c>
      <c r="O61" s="20">
        <v>0</v>
      </c>
      <c r="P61" s="20">
        <v>0</v>
      </c>
      <c r="Q61" s="51">
        <v>0</v>
      </c>
      <c r="R61" s="51">
        <v>2.98</v>
      </c>
      <c r="S61" s="51">
        <v>0</v>
      </c>
      <c r="T61" s="51">
        <v>0</v>
      </c>
      <c r="U61" s="51">
        <v>0</v>
      </c>
      <c r="V61" s="51">
        <v>0</v>
      </c>
      <c r="W61" s="63" t="s">
        <v>149</v>
      </c>
    </row>
    <row r="62" spans="1:23" ht="15" customHeight="1" x14ac:dyDescent="0.25">
      <c r="A62" t="s">
        <v>12</v>
      </c>
      <c r="B62" t="s">
        <v>5</v>
      </c>
      <c r="C62" s="33">
        <v>25</v>
      </c>
      <c r="D62" s="33">
        <v>25</v>
      </c>
      <c r="E62" s="33">
        <v>25</v>
      </c>
      <c r="F62" s="33">
        <v>25</v>
      </c>
      <c r="G62" s="33">
        <v>25</v>
      </c>
      <c r="H62" s="33">
        <v>25</v>
      </c>
      <c r="I62" s="33">
        <v>25</v>
      </c>
      <c r="J62" s="33">
        <v>25</v>
      </c>
      <c r="K62" s="33">
        <v>25</v>
      </c>
      <c r="L62" s="33">
        <v>25</v>
      </c>
      <c r="M62" s="57">
        <v>25</v>
      </c>
      <c r="N62" s="33">
        <v>25</v>
      </c>
      <c r="O62" s="33">
        <v>25</v>
      </c>
      <c r="P62" s="33">
        <v>25</v>
      </c>
      <c r="Q62" s="33">
        <v>25</v>
      </c>
      <c r="R62" s="33">
        <v>25</v>
      </c>
      <c r="S62" s="33">
        <v>25</v>
      </c>
      <c r="T62" s="33">
        <v>25</v>
      </c>
      <c r="U62" s="33">
        <v>25</v>
      </c>
      <c r="V62" s="33">
        <v>25</v>
      </c>
      <c r="W62" s="65" t="s">
        <v>145</v>
      </c>
    </row>
    <row r="63" spans="1:23" ht="15" customHeight="1" x14ac:dyDescent="0.25">
      <c r="A63" s="1" t="s">
        <v>64</v>
      </c>
      <c r="B63" s="1" t="s">
        <v>4</v>
      </c>
      <c r="C63" s="36">
        <f t="shared" ref="C63" si="121">C61*C62*2</f>
        <v>0</v>
      </c>
      <c r="D63" s="36">
        <f t="shared" ref="D63:J63" si="122">D61*D62*2</f>
        <v>0</v>
      </c>
      <c r="E63" s="36">
        <f t="shared" si="122"/>
        <v>70</v>
      </c>
      <c r="F63" s="36">
        <f t="shared" si="122"/>
        <v>0</v>
      </c>
      <c r="G63" s="36">
        <f t="shared" ref="G63" si="123">G61*G62*2</f>
        <v>0</v>
      </c>
      <c r="H63" s="36">
        <f t="shared" si="122"/>
        <v>262</v>
      </c>
      <c r="I63" s="36">
        <f t="shared" si="122"/>
        <v>0</v>
      </c>
      <c r="J63" s="36">
        <f t="shared" si="122"/>
        <v>221.5</v>
      </c>
      <c r="K63" s="22">
        <f t="shared" ref="K63:R63" si="124">K61*K62*2</f>
        <v>0</v>
      </c>
      <c r="L63" s="22">
        <f t="shared" si="124"/>
        <v>83.5</v>
      </c>
      <c r="M63" s="22">
        <f t="shared" si="124"/>
        <v>41.5</v>
      </c>
      <c r="N63" s="22">
        <f t="shared" ref="N63" si="125">N61*N62*2</f>
        <v>0</v>
      </c>
      <c r="O63" s="22">
        <f t="shared" si="124"/>
        <v>0</v>
      </c>
      <c r="P63" s="22">
        <f t="shared" si="124"/>
        <v>0</v>
      </c>
      <c r="Q63" s="22">
        <f t="shared" si="124"/>
        <v>0</v>
      </c>
      <c r="R63" s="22">
        <f t="shared" si="124"/>
        <v>149</v>
      </c>
      <c r="S63" s="22">
        <f t="shared" ref="S63:V63" si="126">S61*S62*2</f>
        <v>0</v>
      </c>
      <c r="T63" s="22">
        <f t="shared" si="126"/>
        <v>0</v>
      </c>
      <c r="U63" s="22">
        <f t="shared" si="126"/>
        <v>0</v>
      </c>
      <c r="V63" s="22">
        <f t="shared" si="126"/>
        <v>0</v>
      </c>
      <c r="W63" s="63" t="s">
        <v>150</v>
      </c>
    </row>
    <row r="64" spans="1:23" ht="15" customHeight="1" x14ac:dyDescent="0.25">
      <c r="A64" s="4" t="s">
        <v>59</v>
      </c>
      <c r="B64" s="4" t="s">
        <v>10</v>
      </c>
      <c r="C64" s="72">
        <v>3</v>
      </c>
      <c r="D64" s="34">
        <v>6.52</v>
      </c>
      <c r="E64" s="34">
        <v>5.73</v>
      </c>
      <c r="F64" s="34">
        <v>3.5510000000000002</v>
      </c>
      <c r="G64" s="34">
        <v>3.5510000000000002</v>
      </c>
      <c r="H64" s="34">
        <v>0</v>
      </c>
      <c r="I64" s="34">
        <v>0</v>
      </c>
      <c r="J64" s="34">
        <v>0</v>
      </c>
      <c r="K64" s="20">
        <v>5.3</v>
      </c>
      <c r="L64" s="20">
        <v>6.86</v>
      </c>
      <c r="M64" s="20">
        <v>2.95</v>
      </c>
      <c r="N64" s="20">
        <v>4.2699999999999996</v>
      </c>
      <c r="O64" s="20">
        <v>6.28</v>
      </c>
      <c r="P64" s="20">
        <v>4.49</v>
      </c>
      <c r="Q64" s="51">
        <v>4.76</v>
      </c>
      <c r="R64" s="51">
        <v>0</v>
      </c>
      <c r="S64" s="51">
        <v>0</v>
      </c>
      <c r="T64" s="51">
        <v>16.12</v>
      </c>
      <c r="U64" s="51">
        <v>27.45</v>
      </c>
      <c r="V64" s="51">
        <v>14.34</v>
      </c>
      <c r="W64" s="63" t="s">
        <v>151</v>
      </c>
    </row>
    <row r="65" spans="1:28" ht="15" customHeight="1" x14ac:dyDescent="0.25">
      <c r="A65" s="4" t="s">
        <v>12</v>
      </c>
      <c r="B65" s="4" t="s">
        <v>5</v>
      </c>
      <c r="C65" s="33">
        <v>25</v>
      </c>
      <c r="D65" s="33">
        <v>25</v>
      </c>
      <c r="E65" s="33">
        <v>25</v>
      </c>
      <c r="F65" s="33">
        <v>25</v>
      </c>
      <c r="G65" s="33">
        <v>25</v>
      </c>
      <c r="H65" s="33">
        <v>25</v>
      </c>
      <c r="I65" s="33">
        <v>25</v>
      </c>
      <c r="J65" s="33">
        <v>25</v>
      </c>
      <c r="K65" s="33">
        <v>25</v>
      </c>
      <c r="L65" s="33">
        <v>25</v>
      </c>
      <c r="M65" s="57">
        <v>25</v>
      </c>
      <c r="N65" s="33">
        <v>25</v>
      </c>
      <c r="O65" s="33">
        <v>25</v>
      </c>
      <c r="P65" s="33">
        <v>25</v>
      </c>
      <c r="Q65" s="33">
        <v>25</v>
      </c>
      <c r="R65" s="33">
        <v>25</v>
      </c>
      <c r="S65" s="33">
        <v>25</v>
      </c>
      <c r="T65" s="33">
        <v>25</v>
      </c>
      <c r="U65" s="33">
        <v>25</v>
      </c>
      <c r="V65" s="33">
        <v>25</v>
      </c>
      <c r="W65" s="65" t="s">
        <v>145</v>
      </c>
    </row>
    <row r="66" spans="1:28" ht="15" customHeight="1" x14ac:dyDescent="0.25">
      <c r="A66" s="1" t="s">
        <v>65</v>
      </c>
      <c r="B66" s="1" t="s">
        <v>4</v>
      </c>
      <c r="C66" s="36">
        <f t="shared" ref="C66:J66" si="127">C64*C65*2</f>
        <v>150</v>
      </c>
      <c r="D66" s="36">
        <f t="shared" si="127"/>
        <v>326</v>
      </c>
      <c r="E66" s="36">
        <f t="shared" si="127"/>
        <v>286.5</v>
      </c>
      <c r="F66" s="36">
        <f t="shared" si="127"/>
        <v>177.55</v>
      </c>
      <c r="G66" s="36">
        <f t="shared" ref="G66" si="128">G64*G65*2</f>
        <v>177.55</v>
      </c>
      <c r="H66" s="36">
        <f t="shared" si="127"/>
        <v>0</v>
      </c>
      <c r="I66" s="36">
        <f t="shared" si="127"/>
        <v>0</v>
      </c>
      <c r="J66" s="36">
        <f t="shared" si="127"/>
        <v>0</v>
      </c>
      <c r="K66" s="22">
        <f t="shared" ref="K66:R66" si="129">K64*K65*2</f>
        <v>265</v>
      </c>
      <c r="L66" s="22">
        <f t="shared" si="129"/>
        <v>343</v>
      </c>
      <c r="M66" s="22">
        <f t="shared" si="129"/>
        <v>147.5</v>
      </c>
      <c r="N66" s="22">
        <f t="shared" ref="N66" si="130">N64*N65*2</f>
        <v>213.49999999999997</v>
      </c>
      <c r="O66" s="22">
        <f t="shared" si="129"/>
        <v>314</v>
      </c>
      <c r="P66" s="22">
        <f t="shared" si="129"/>
        <v>224.5</v>
      </c>
      <c r="Q66" s="22">
        <f t="shared" si="129"/>
        <v>238</v>
      </c>
      <c r="R66" s="22">
        <f t="shared" si="129"/>
        <v>0</v>
      </c>
      <c r="S66" s="22">
        <f t="shared" ref="S66:V66" si="131">S64*S65*2</f>
        <v>0</v>
      </c>
      <c r="T66" s="22">
        <f t="shared" si="131"/>
        <v>806</v>
      </c>
      <c r="U66" s="22">
        <f t="shared" si="131"/>
        <v>1372.5</v>
      </c>
      <c r="V66" s="22">
        <f t="shared" si="131"/>
        <v>717</v>
      </c>
      <c r="W66" s="63" t="s">
        <v>152</v>
      </c>
    </row>
    <row r="67" spans="1:28" ht="15" customHeight="1" x14ac:dyDescent="0.25">
      <c r="A67" t="s">
        <v>13</v>
      </c>
      <c r="B67" t="s">
        <v>10</v>
      </c>
      <c r="C67" s="72">
        <v>3.28</v>
      </c>
      <c r="D67" s="34">
        <v>8.3000000000000007</v>
      </c>
      <c r="E67" s="34">
        <v>3.48</v>
      </c>
      <c r="F67" s="34">
        <v>0</v>
      </c>
      <c r="G67" s="34">
        <v>0</v>
      </c>
      <c r="H67" s="34">
        <v>7.97</v>
      </c>
      <c r="I67" s="34">
        <v>10.3</v>
      </c>
      <c r="J67" s="34">
        <v>9.01</v>
      </c>
      <c r="K67" s="20">
        <v>6.44</v>
      </c>
      <c r="L67" s="20">
        <v>6.24</v>
      </c>
      <c r="M67" s="20">
        <v>5.57</v>
      </c>
      <c r="N67" s="20">
        <v>5.21</v>
      </c>
      <c r="O67" s="20">
        <v>8.65</v>
      </c>
      <c r="P67" s="20">
        <v>3.5</v>
      </c>
      <c r="Q67" s="51">
        <v>4.21</v>
      </c>
      <c r="R67" s="51">
        <v>4.66</v>
      </c>
      <c r="S67" s="51">
        <v>12</v>
      </c>
      <c r="T67" s="51">
        <v>42.08</v>
      </c>
      <c r="U67" s="51">
        <v>47.22</v>
      </c>
      <c r="V67" s="51">
        <v>0</v>
      </c>
      <c r="W67" s="63" t="s">
        <v>153</v>
      </c>
    </row>
    <row r="68" spans="1:28" ht="15" customHeight="1" x14ac:dyDescent="0.25">
      <c r="A68" t="s">
        <v>12</v>
      </c>
      <c r="B68" t="s">
        <v>5</v>
      </c>
      <c r="C68" s="33">
        <v>25</v>
      </c>
      <c r="D68" s="33">
        <v>25</v>
      </c>
      <c r="E68" s="33">
        <v>25</v>
      </c>
      <c r="F68" s="33">
        <v>25</v>
      </c>
      <c r="G68" s="33">
        <v>25</v>
      </c>
      <c r="H68" s="33">
        <v>25</v>
      </c>
      <c r="I68" s="33">
        <v>25</v>
      </c>
      <c r="J68" s="33">
        <v>25</v>
      </c>
      <c r="K68" s="33">
        <v>25</v>
      </c>
      <c r="L68" s="33">
        <v>25</v>
      </c>
      <c r="M68" s="57">
        <v>25</v>
      </c>
      <c r="N68" s="33">
        <v>25</v>
      </c>
      <c r="O68" s="33">
        <v>25</v>
      </c>
      <c r="P68" s="33">
        <v>25</v>
      </c>
      <c r="Q68" s="33">
        <v>25</v>
      </c>
      <c r="R68" s="33">
        <v>25</v>
      </c>
      <c r="S68" s="33">
        <v>25</v>
      </c>
      <c r="T68" s="33">
        <v>25</v>
      </c>
      <c r="U68" s="33">
        <v>25</v>
      </c>
      <c r="V68" s="33">
        <v>25</v>
      </c>
      <c r="W68" s="65" t="s">
        <v>145</v>
      </c>
    </row>
    <row r="69" spans="1:28" ht="15" customHeight="1" x14ac:dyDescent="0.25">
      <c r="A69" s="1" t="s">
        <v>66</v>
      </c>
      <c r="B69" s="1" t="s">
        <v>4</v>
      </c>
      <c r="C69" s="36">
        <f t="shared" ref="C69" si="132">C67*C68*2</f>
        <v>164</v>
      </c>
      <c r="D69" s="36">
        <f t="shared" ref="D69:J69" si="133">D67*D68*2</f>
        <v>415.00000000000006</v>
      </c>
      <c r="E69" s="36">
        <f t="shared" si="133"/>
        <v>174</v>
      </c>
      <c r="F69" s="36">
        <f t="shared" si="133"/>
        <v>0</v>
      </c>
      <c r="G69" s="36">
        <f t="shared" ref="G69" si="134">G67*G68*2</f>
        <v>0</v>
      </c>
      <c r="H69" s="36">
        <f t="shared" si="133"/>
        <v>398.5</v>
      </c>
      <c r="I69" s="36">
        <f t="shared" si="133"/>
        <v>515</v>
      </c>
      <c r="J69" s="36">
        <f t="shared" si="133"/>
        <v>450.5</v>
      </c>
      <c r="K69" s="22">
        <f t="shared" ref="K69:R69" si="135">K67*K68*2</f>
        <v>322</v>
      </c>
      <c r="L69" s="22">
        <f t="shared" ref="L69" si="136">L67*L68*2</f>
        <v>312</v>
      </c>
      <c r="M69" s="22">
        <f>M67*M68</f>
        <v>139.25</v>
      </c>
      <c r="N69" s="22">
        <f t="shared" ref="N69" si="137">N67*N68*2</f>
        <v>260.5</v>
      </c>
      <c r="O69" s="22">
        <f t="shared" si="135"/>
        <v>432.5</v>
      </c>
      <c r="P69" s="22">
        <f t="shared" si="135"/>
        <v>175</v>
      </c>
      <c r="Q69" s="22">
        <f t="shared" si="135"/>
        <v>210.5</v>
      </c>
      <c r="R69" s="22">
        <f t="shared" si="135"/>
        <v>233</v>
      </c>
      <c r="S69" s="22">
        <f t="shared" ref="S69:V69" si="138">S67*S68*2</f>
        <v>600</v>
      </c>
      <c r="T69" s="22">
        <f>T67*T68*1</f>
        <v>1052</v>
      </c>
      <c r="U69" s="22">
        <f>U67*U68</f>
        <v>1180.5</v>
      </c>
      <c r="V69" s="22">
        <f t="shared" si="138"/>
        <v>0</v>
      </c>
      <c r="W69" s="63" t="s">
        <v>154</v>
      </c>
    </row>
    <row r="70" spans="1:28" s="4" customFormat="1" ht="15" customHeight="1" x14ac:dyDescent="0.25">
      <c r="D70" s="40"/>
      <c r="E70" s="40"/>
      <c r="F70" s="40"/>
      <c r="G70" s="40"/>
      <c r="H70" s="40"/>
      <c r="I70" s="40"/>
      <c r="J70" s="40"/>
      <c r="K70" s="23"/>
      <c r="L70" s="23"/>
      <c r="M70" s="23"/>
      <c r="N70" s="23"/>
      <c r="O70" s="23"/>
      <c r="P70" s="23"/>
      <c r="Q70" s="41"/>
      <c r="R70" s="41"/>
      <c r="S70" s="41"/>
      <c r="T70" s="41"/>
      <c r="U70" s="41"/>
      <c r="V70" s="41"/>
      <c r="W70" s="64"/>
      <c r="X70" s="41"/>
      <c r="Y70" s="41"/>
      <c r="Z70" s="41"/>
      <c r="AA70" s="41"/>
      <c r="AB70" s="41"/>
    </row>
    <row r="71" spans="1:28" ht="15" customHeight="1" x14ac:dyDescent="0.25">
      <c r="A71" s="1" t="s">
        <v>56</v>
      </c>
      <c r="B71" s="1" t="s">
        <v>4</v>
      </c>
      <c r="C71" s="36">
        <f t="shared" ref="C71" si="139">SUM(C57,C60,C63,C66,C69)</f>
        <v>4673.3369492053207</v>
      </c>
      <c r="D71" s="36">
        <f t="shared" ref="D71:J71" si="140">SUM(D57,D60,D63,D66,D69)</f>
        <v>6682.3212177268715</v>
      </c>
      <c r="E71" s="36">
        <f t="shared" si="140"/>
        <v>6225.7219731073446</v>
      </c>
      <c r="F71" s="36">
        <f t="shared" si="140"/>
        <v>3600.0371213466356</v>
      </c>
      <c r="G71" s="36">
        <f t="shared" ref="G71" si="141">SUM(G57,G60,G63,G66,G69)</f>
        <v>3600.0371213466356</v>
      </c>
      <c r="H71" s="36">
        <f t="shared" si="140"/>
        <v>7513.0294536212859</v>
      </c>
      <c r="I71" s="36">
        <f t="shared" si="140"/>
        <v>11788.855188572632</v>
      </c>
      <c r="J71" s="36">
        <f t="shared" si="140"/>
        <v>5732.3343501229356</v>
      </c>
      <c r="K71" s="22">
        <f t="shared" ref="K71:P71" si="142">SUM(K57,K60,K63,K66,K69)</f>
        <v>5889.3706678238532</v>
      </c>
      <c r="L71" s="22">
        <f t="shared" ref="L71" si="143">SUM(L57,L60,L63,L66,L69)</f>
        <v>6082.0965325181896</v>
      </c>
      <c r="M71" s="22">
        <f t="shared" ref="M71" si="144">SUM(M57,M60,M63,M66,M69)</f>
        <v>3330.7951093164511</v>
      </c>
      <c r="N71" s="22">
        <f t="shared" ref="N71" si="145">SUM(N57,N60,N63,N66,N69)</f>
        <v>4453.4268536849468</v>
      </c>
      <c r="O71" s="22">
        <f t="shared" si="142"/>
        <v>6561.5461026812682</v>
      </c>
      <c r="P71" s="22">
        <f t="shared" si="142"/>
        <v>4877.9352784883813</v>
      </c>
      <c r="Q71" s="22">
        <f t="shared" ref="Q71:R71" si="146">SUM(Q57,Q60,Q63,Q66,Q69)</f>
        <v>4566.9719069828352</v>
      </c>
      <c r="R71" s="22">
        <f t="shared" si="146"/>
        <v>6339.7087547018764</v>
      </c>
      <c r="S71" s="22">
        <f t="shared" ref="S71:V71" si="147">SUM(S57,S60,S63,S66,S69)</f>
        <v>12749.905403923747</v>
      </c>
      <c r="T71" s="22">
        <f t="shared" si="147"/>
        <v>18684.041259883488</v>
      </c>
      <c r="U71" s="22">
        <f t="shared" si="147"/>
        <v>33436.701861448717</v>
      </c>
      <c r="V71" s="22">
        <f t="shared" si="147"/>
        <v>20153.467321795179</v>
      </c>
      <c r="W71" s="63" t="s">
        <v>155</v>
      </c>
    </row>
    <row r="72" spans="1:28" ht="15" customHeight="1" x14ac:dyDescent="0.25">
      <c r="A72" s="4" t="s">
        <v>54</v>
      </c>
      <c r="B72" s="4" t="s">
        <v>4</v>
      </c>
      <c r="C72" s="36">
        <f t="shared" ref="C72" si="148">C45*C75</f>
        <v>462.01649401704373</v>
      </c>
      <c r="D72" s="36">
        <f t="shared" ref="D72:J72" si="149">D45*D75</f>
        <v>618.46327639222454</v>
      </c>
      <c r="E72" s="36">
        <f t="shared" si="149"/>
        <v>596.11226441784208</v>
      </c>
      <c r="F72" s="36">
        <f t="shared" si="149"/>
        <v>321.90391503095424</v>
      </c>
      <c r="G72" s="36">
        <f t="shared" ref="G72" si="150">G45*G75</f>
        <v>352.44936957640874</v>
      </c>
      <c r="H72" s="36">
        <f t="shared" si="149"/>
        <v>739.79864458286033</v>
      </c>
      <c r="I72" s="36">
        <f t="shared" si="149"/>
        <v>949.10479944061854</v>
      </c>
      <c r="J72" s="36">
        <f t="shared" si="149"/>
        <v>466.61776539063328</v>
      </c>
      <c r="K72" s="22">
        <f t="shared" ref="K72:P72" si="151">K45*K75</f>
        <v>620.37478793543335</v>
      </c>
      <c r="L72" s="22">
        <f t="shared" ref="L72" si="152">L45*L75</f>
        <v>670.73199809529603</v>
      </c>
      <c r="M72" s="22">
        <f t="shared" ref="M72" si="153">M45*M75</f>
        <v>329.08787248402211</v>
      </c>
      <c r="N72" s="22">
        <f t="shared" ref="N72" si="154">N45*N75</f>
        <v>411.65026556499748</v>
      </c>
      <c r="O72" s="22">
        <f t="shared" si="151"/>
        <v>667.57218684453778</v>
      </c>
      <c r="P72" s="22">
        <f t="shared" si="151"/>
        <v>424.79403461131943</v>
      </c>
      <c r="Q72" s="22">
        <f t="shared" ref="Q72:R72" si="155">Q45*Q75</f>
        <v>461.85177167048852</v>
      </c>
      <c r="R72" s="22">
        <f t="shared" si="155"/>
        <v>602.86686211827373</v>
      </c>
      <c r="S72" s="22">
        <f t="shared" ref="S72:V72" si="156">S45*S75</f>
        <v>916.65271208018339</v>
      </c>
      <c r="T72" s="22">
        <f t="shared" si="156"/>
        <v>1629.2887330012898</v>
      </c>
      <c r="U72" s="22">
        <f t="shared" si="156"/>
        <v>3066.1322589520355</v>
      </c>
      <c r="V72" s="22">
        <f t="shared" si="156"/>
        <v>1671.8480507172469</v>
      </c>
      <c r="W72" s="63" t="s">
        <v>156</v>
      </c>
    </row>
    <row r="73" spans="1:28" ht="15" customHeight="1" x14ac:dyDescent="0.25">
      <c r="A73" s="1" t="s">
        <v>67</v>
      </c>
      <c r="B73" s="1" t="s">
        <v>4</v>
      </c>
      <c r="C73" s="36">
        <f>C71+C72</f>
        <v>5135.3534432223641</v>
      </c>
      <c r="D73" s="36">
        <f>D71+D72</f>
        <v>7300.7844941190961</v>
      </c>
      <c r="E73" s="36">
        <f t="shared" ref="E73:H73" si="157">E71+E72</f>
        <v>6821.8342375251868</v>
      </c>
      <c r="F73" s="36">
        <f t="shared" ref="F73:G73" si="158">F71+F72</f>
        <v>3921.9410363775896</v>
      </c>
      <c r="G73" s="36">
        <f t="shared" si="158"/>
        <v>3952.4864909230441</v>
      </c>
      <c r="H73" s="36">
        <f t="shared" si="157"/>
        <v>8252.828098204147</v>
      </c>
      <c r="I73" s="36">
        <f t="shared" ref="I73:J73" si="159">I71+I72</f>
        <v>12737.95998801325</v>
      </c>
      <c r="J73" s="36">
        <f t="shared" si="159"/>
        <v>6198.952115513569</v>
      </c>
      <c r="K73" s="22">
        <f t="shared" ref="K73:P73" si="160">K71+K72</f>
        <v>6509.7454557592864</v>
      </c>
      <c r="L73" s="22">
        <f t="shared" ref="L73" si="161">L71+L72</f>
        <v>6752.8285306134858</v>
      </c>
      <c r="M73" s="22">
        <f t="shared" ref="M73" si="162">M71+M72</f>
        <v>3659.8829818004733</v>
      </c>
      <c r="N73" s="22">
        <f t="shared" ref="N73" si="163">N71+N72</f>
        <v>4865.0771192499442</v>
      </c>
      <c r="O73" s="22">
        <f t="shared" si="160"/>
        <v>7229.1182895258062</v>
      </c>
      <c r="P73" s="22">
        <f t="shared" si="160"/>
        <v>5302.7293130997004</v>
      </c>
      <c r="Q73" s="22">
        <f t="shared" ref="Q73:R73" si="164">Q71+Q72</f>
        <v>5028.8236786533234</v>
      </c>
      <c r="R73" s="22">
        <f t="shared" si="164"/>
        <v>6942.5756168201497</v>
      </c>
      <c r="S73" s="22">
        <f t="shared" ref="S73:V73" si="165">S71+S72</f>
        <v>13666.558116003931</v>
      </c>
      <c r="T73" s="22">
        <f t="shared" si="165"/>
        <v>20313.329992884777</v>
      </c>
      <c r="U73" s="22">
        <f t="shared" si="165"/>
        <v>36502.834120400752</v>
      </c>
      <c r="V73" s="22">
        <f t="shared" si="165"/>
        <v>21825.315372512425</v>
      </c>
      <c r="W73" s="63" t="s">
        <v>157</v>
      </c>
    </row>
    <row r="74" spans="1:28" ht="15" customHeight="1" x14ac:dyDescent="0.25">
      <c r="A74" s="4" t="s">
        <v>55</v>
      </c>
      <c r="B74" s="4" t="s">
        <v>4</v>
      </c>
      <c r="C74" s="36">
        <f t="shared" ref="C74" si="166">C46*C75</f>
        <v>1452.05183833928</v>
      </c>
      <c r="D74" s="36">
        <f t="shared" ref="D74:J74" si="167">D46*D75</f>
        <v>1943.7417258041341</v>
      </c>
      <c r="E74" s="36">
        <f t="shared" si="167"/>
        <v>1873.4956881703608</v>
      </c>
      <c r="F74" s="36">
        <f t="shared" si="167"/>
        <v>1011.6980186687132</v>
      </c>
      <c r="G74" s="36">
        <f t="shared" ref="G74" si="168">G46*G75</f>
        <v>1107.6980186687131</v>
      </c>
      <c r="H74" s="36">
        <f t="shared" si="167"/>
        <v>2325.0814544032751</v>
      </c>
      <c r="I74" s="36">
        <f t="shared" si="167"/>
        <v>2982.9007982419439</v>
      </c>
      <c r="J74" s="36">
        <f t="shared" si="167"/>
        <v>1466.5129769419902</v>
      </c>
      <c r="K74" s="22">
        <f t="shared" ref="K74:P74" si="169">K46*K75</f>
        <v>1949.7493335113618</v>
      </c>
      <c r="L74" s="22">
        <f t="shared" ref="L74" si="170">L46*L75</f>
        <v>2108.0148511566445</v>
      </c>
      <c r="M74" s="22">
        <f t="shared" ref="M74" si="171">M46*M75</f>
        <v>1034.2761706640695</v>
      </c>
      <c r="N74" s="22">
        <f t="shared" ref="N74" si="172">N46*N75</f>
        <v>1293.7579774899918</v>
      </c>
      <c r="O74" s="22">
        <f t="shared" si="169"/>
        <v>2098.0840157971184</v>
      </c>
      <c r="P74" s="22">
        <f t="shared" si="169"/>
        <v>1335.0669659212895</v>
      </c>
      <c r="Q74" s="22">
        <f t="shared" ref="Q74:R74" si="173">Q46*Q75</f>
        <v>1451.5341395358209</v>
      </c>
      <c r="R74" s="22">
        <f t="shared" si="173"/>
        <v>1894.7244238002888</v>
      </c>
      <c r="S74" s="22">
        <f t="shared" ref="S74:V74" si="174">S46*S75</f>
        <v>2880.9085236805763</v>
      </c>
      <c r="T74" s="22">
        <f t="shared" si="174"/>
        <v>5120.6217322897674</v>
      </c>
      <c r="U74" s="22">
        <f t="shared" si="174"/>
        <v>9636.4156709921117</v>
      </c>
      <c r="V74" s="22">
        <f t="shared" si="174"/>
        <v>5254.3795879684894</v>
      </c>
      <c r="W74" s="63" t="s">
        <v>158</v>
      </c>
    </row>
    <row r="75" spans="1:28" ht="15" customHeight="1" x14ac:dyDescent="0.25">
      <c r="A75" s="4" t="s">
        <v>35</v>
      </c>
      <c r="B75" s="4" t="s">
        <v>4</v>
      </c>
      <c r="C75" s="36">
        <f t="shared" ref="C75" si="175">(C71+C42)/(1-(C45+C46+C48))</f>
        <v>13200.471257629819</v>
      </c>
      <c r="D75" s="36">
        <f t="shared" ref="D75:J75" si="176">(D71+D42)/(1-(D45+D46+D48))</f>
        <v>17670.379325492129</v>
      </c>
      <c r="E75" s="36">
        <f t="shared" si="176"/>
        <v>17031.778983366916</v>
      </c>
      <c r="F75" s="36">
        <f t="shared" si="176"/>
        <v>9197.2547151701201</v>
      </c>
      <c r="G75" s="36">
        <f t="shared" ref="G75" si="177">(G71+G42)/(1-(G45+G46+G48))</f>
        <v>10069.981987897392</v>
      </c>
      <c r="H75" s="36">
        <f t="shared" si="176"/>
        <v>21137.104130938864</v>
      </c>
      <c r="I75" s="36">
        <f t="shared" si="176"/>
        <v>27117.27998401767</v>
      </c>
      <c r="J75" s="36">
        <f t="shared" si="176"/>
        <v>13331.936154018093</v>
      </c>
      <c r="K75" s="68">
        <f t="shared" ref="K75:P75" si="178">(K71+K42)/(1-(K45+K46+K48))</f>
        <v>17724.993941012381</v>
      </c>
      <c r="L75" s="69">
        <f t="shared" ref="L75" si="179">(L71+L42)/(1-(L45+L46+L48))</f>
        <v>19163.771374151314</v>
      </c>
      <c r="M75" s="68">
        <f t="shared" ref="M75" si="180">(M71+M42)/(1-(M45+M46+M48))</f>
        <v>9402.5106424006317</v>
      </c>
      <c r="N75" s="22">
        <f t="shared" ref="N75" si="181">(N71+N42)/(1-(N45+N46+N48))</f>
        <v>11761.436158999926</v>
      </c>
      <c r="O75" s="22">
        <f t="shared" si="178"/>
        <v>19073.491052701076</v>
      </c>
      <c r="P75" s="22">
        <f t="shared" si="178"/>
        <v>12136.972417466268</v>
      </c>
      <c r="Q75" s="22">
        <f t="shared" ref="Q75:R75" si="182">(Q71+Q42)/(1-(Q45+Q46+Q48))</f>
        <v>13195.764904871099</v>
      </c>
      <c r="R75" s="22">
        <f t="shared" si="182"/>
        <v>17224.767489093534</v>
      </c>
      <c r="S75" s="22">
        <f t="shared" ref="S75:V75" si="183">(S71+S42)/(1-(S45+S46+S48))</f>
        <v>26190.077488005238</v>
      </c>
      <c r="T75" s="22">
        <f t="shared" si="183"/>
        <v>46551.106657179706</v>
      </c>
      <c r="U75" s="22">
        <f t="shared" si="183"/>
        <v>87603.778827201008</v>
      </c>
      <c r="V75" s="22">
        <f t="shared" si="183"/>
        <v>47767.087163349905</v>
      </c>
      <c r="W75" s="63" t="s">
        <v>159</v>
      </c>
    </row>
    <row r="76" spans="1:28" ht="15" customHeight="1" x14ac:dyDescent="0.25">
      <c r="A76" s="4" t="s">
        <v>37</v>
      </c>
      <c r="B76" s="4" t="s">
        <v>4</v>
      </c>
      <c r="C76" s="36">
        <f t="shared" ref="C76" si="184">C75+C38</f>
        <v>13350.471257629819</v>
      </c>
      <c r="D76" s="36">
        <f t="shared" ref="D76:J76" si="185">D75+D38</f>
        <v>17820.379325492129</v>
      </c>
      <c r="E76" s="36">
        <f t="shared" si="185"/>
        <v>17181.778983366916</v>
      </c>
      <c r="F76" s="36">
        <f t="shared" si="185"/>
        <v>9347.2547151701201</v>
      </c>
      <c r="G76" s="36">
        <f t="shared" ref="G76" si="186">G75+G38</f>
        <v>10219.981987897392</v>
      </c>
      <c r="H76" s="36">
        <f t="shared" si="185"/>
        <v>21287.104130938864</v>
      </c>
      <c r="I76" s="36">
        <f t="shared" si="185"/>
        <v>27267.27998401767</v>
      </c>
      <c r="J76" s="36">
        <f t="shared" si="185"/>
        <v>13481.936154018093</v>
      </c>
      <c r="K76" s="22">
        <f t="shared" ref="K76:P76" si="187">K75+K38</f>
        <v>17842.993941012381</v>
      </c>
      <c r="L76" s="22">
        <f t="shared" ref="L76" si="188">L75+L38</f>
        <v>19281.771374151314</v>
      </c>
      <c r="M76" s="22">
        <f t="shared" ref="M76" si="189">M75+M38</f>
        <v>9520.5106424006317</v>
      </c>
      <c r="N76" s="22">
        <f t="shared" ref="N76" si="190">N75+N38</f>
        <v>11879.436158999926</v>
      </c>
      <c r="O76" s="22">
        <f t="shared" si="187"/>
        <v>19191.491052701076</v>
      </c>
      <c r="P76" s="22">
        <f t="shared" si="187"/>
        <v>12175.972417466268</v>
      </c>
      <c r="Q76" s="22">
        <f t="shared" ref="Q76:R76" si="191">Q75+Q38</f>
        <v>13345.764904871099</v>
      </c>
      <c r="R76" s="22">
        <f t="shared" si="191"/>
        <v>17374.767489093534</v>
      </c>
      <c r="S76" s="22">
        <f t="shared" ref="S76:V76" si="192">S75+S38</f>
        <v>26340.077488005238</v>
      </c>
      <c r="T76" s="22">
        <f t="shared" si="192"/>
        <v>46551.106657179706</v>
      </c>
      <c r="U76" s="22">
        <f t="shared" si="192"/>
        <v>87603.778827201008</v>
      </c>
      <c r="V76" s="22">
        <f t="shared" si="192"/>
        <v>47767.087163349905</v>
      </c>
      <c r="W76" s="63" t="s">
        <v>160</v>
      </c>
    </row>
    <row r="77" spans="1:28" ht="15" customHeight="1" x14ac:dyDescent="0.25">
      <c r="A77" s="4"/>
      <c r="B77" s="4"/>
      <c r="C77" s="4"/>
      <c r="D77" s="40"/>
      <c r="E77" s="40"/>
      <c r="F77" s="40"/>
      <c r="G77" s="40"/>
      <c r="H77" s="40"/>
      <c r="I77" s="40"/>
      <c r="J77" s="40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8" ht="15" customHeight="1" x14ac:dyDescent="0.25">
      <c r="A78" s="4" t="s">
        <v>185</v>
      </c>
      <c r="B78" s="4" t="s">
        <v>4</v>
      </c>
      <c r="C78" s="4">
        <v>11650</v>
      </c>
      <c r="D78" s="40">
        <v>16500</v>
      </c>
      <c r="E78" s="40"/>
      <c r="F78" s="40"/>
      <c r="G78" s="40"/>
      <c r="H78" s="40"/>
      <c r="I78" s="40"/>
      <c r="J78" s="40"/>
      <c r="K78" s="24">
        <v>12975</v>
      </c>
      <c r="L78" s="24">
        <v>19480</v>
      </c>
      <c r="M78" s="24">
        <v>8910</v>
      </c>
      <c r="N78" s="24">
        <v>11340</v>
      </c>
      <c r="O78" s="24">
        <v>19660</v>
      </c>
      <c r="P78" s="24">
        <v>13290</v>
      </c>
      <c r="Q78" s="24"/>
      <c r="R78" s="24"/>
      <c r="S78" s="24"/>
      <c r="T78" s="24">
        <v>68000</v>
      </c>
      <c r="U78" s="24">
        <v>110000</v>
      </c>
      <c r="V78" s="24"/>
    </row>
    <row r="79" spans="1:28" ht="15" customHeight="1" x14ac:dyDescent="0.25">
      <c r="A79" s="70" t="s">
        <v>187</v>
      </c>
      <c r="B79" s="70" t="s">
        <v>186</v>
      </c>
      <c r="C79" s="71">
        <f>100*(C78/C75)</f>
        <v>88.254424956732862</v>
      </c>
      <c r="D79" s="71">
        <f>100*(D78/D75)</f>
        <v>93.376603275269346</v>
      </c>
      <c r="E79" s="71">
        <f t="shared" ref="E79:V79" si="193">100*(E78/E75)</f>
        <v>0</v>
      </c>
      <c r="F79" s="71">
        <f t="shared" ref="F79" si="194">100*(F78/F75)</f>
        <v>0</v>
      </c>
      <c r="G79" s="71"/>
      <c r="H79" s="71">
        <f t="shared" si="193"/>
        <v>0</v>
      </c>
      <c r="I79" s="71">
        <f t="shared" ref="I79:J79" si="195">100*(I78/I75)</f>
        <v>0</v>
      </c>
      <c r="J79" s="71">
        <f t="shared" si="195"/>
        <v>0</v>
      </c>
      <c r="K79" s="71">
        <f t="shared" si="193"/>
        <v>73.201717547435834</v>
      </c>
      <c r="L79" s="71">
        <f t="shared" si="193"/>
        <v>101.6501377504181</v>
      </c>
      <c r="M79" s="71">
        <f t="shared" si="193"/>
        <v>94.761924116526345</v>
      </c>
      <c r="N79" s="71">
        <f t="shared" si="193"/>
        <v>96.416796781425035</v>
      </c>
      <c r="O79" s="71">
        <f t="shared" si="193"/>
        <v>103.07499526792641</v>
      </c>
      <c r="P79" s="71">
        <f t="shared" si="193"/>
        <v>109.50012526084689</v>
      </c>
      <c r="Q79" s="71">
        <f t="shared" si="193"/>
        <v>0</v>
      </c>
      <c r="R79" s="71">
        <f t="shared" si="193"/>
        <v>0</v>
      </c>
      <c r="S79" s="71">
        <f t="shared" si="193"/>
        <v>0</v>
      </c>
      <c r="T79" s="71">
        <f t="shared" si="193"/>
        <v>146.07601168491701</v>
      </c>
      <c r="U79" s="71">
        <f t="shared" si="193"/>
        <v>125.56535970551646</v>
      </c>
      <c r="V79" s="71">
        <f t="shared" si="193"/>
        <v>0</v>
      </c>
    </row>
    <row r="80" spans="1:28" ht="15" customHeight="1" x14ac:dyDescent="0.25">
      <c r="A80" s="4"/>
      <c r="B80" s="4"/>
      <c r="C80" s="4"/>
      <c r="D80" s="40"/>
      <c r="E80" s="40"/>
      <c r="F80" s="40"/>
      <c r="G80" s="40"/>
      <c r="H80" s="40"/>
      <c r="I80" s="40"/>
      <c r="J80" s="40"/>
      <c r="K80" s="24"/>
      <c r="L80" s="24"/>
      <c r="M80" s="24"/>
      <c r="N80" s="24"/>
      <c r="O80" s="24"/>
      <c r="P80" s="24"/>
      <c r="Q80" s="41"/>
      <c r="R80" s="41"/>
      <c r="S80" s="41"/>
      <c r="T80" s="41"/>
      <c r="U80" s="41"/>
      <c r="V80" s="41"/>
    </row>
    <row r="81" spans="1:23" ht="15" customHeight="1" x14ac:dyDescent="0.25">
      <c r="A81" s="3" t="s">
        <v>39</v>
      </c>
      <c r="B81" s="1"/>
      <c r="C81" s="1"/>
      <c r="D81" s="36"/>
      <c r="E81" s="36"/>
      <c r="F81" s="36"/>
      <c r="G81" s="36"/>
      <c r="H81" s="36"/>
      <c r="I81" s="36"/>
      <c r="J81" s="36"/>
      <c r="K81" s="22"/>
      <c r="L81" s="22"/>
      <c r="M81" s="22"/>
      <c r="N81" s="22"/>
      <c r="O81" s="22"/>
      <c r="P81" s="22"/>
      <c r="Q81" s="52"/>
      <c r="R81" s="52"/>
      <c r="S81" s="52"/>
      <c r="T81" s="52"/>
      <c r="U81" s="52"/>
      <c r="V81" s="52"/>
      <c r="W81" s="63" t="s">
        <v>161</v>
      </c>
    </row>
    <row r="82" spans="1:23" ht="15" customHeight="1" x14ac:dyDescent="0.25">
      <c r="A82" s="4" t="s">
        <v>40</v>
      </c>
      <c r="B82" s="4" t="s">
        <v>4</v>
      </c>
      <c r="C82" s="36">
        <f t="shared" ref="C82" si="196">C37+C39+(C25/2)+C76</f>
        <v>16300.35500762982</v>
      </c>
      <c r="D82" s="36">
        <f t="shared" ref="D82:J82" si="197">D37+D39+(D25/2)+D76</f>
        <v>23340.370161799703</v>
      </c>
      <c r="E82" s="36">
        <f t="shared" si="197"/>
        <v>23749.3814792499</v>
      </c>
      <c r="F82" s="36">
        <f t="shared" si="197"/>
        <v>12664.66321517012</v>
      </c>
      <c r="G82" s="36">
        <f t="shared" ref="G82" si="198">G37+G39+(G25/2)+G76</f>
        <v>12836.494487897391</v>
      </c>
      <c r="H82" s="36">
        <f t="shared" si="197"/>
        <v>32475.453722096623</v>
      </c>
      <c r="I82" s="36">
        <f t="shared" si="197"/>
        <v>46050.477984017671</v>
      </c>
      <c r="J82" s="36">
        <f t="shared" si="197"/>
        <v>19246.235995343941</v>
      </c>
      <c r="K82" s="22">
        <f t="shared" ref="K82:P82" si="199">K37+K39+(K25/2)+K76</f>
        <v>21667.993941012381</v>
      </c>
      <c r="L82" s="22">
        <f t="shared" ref="L82" si="200">L37+L39+(L25/2)+L76</f>
        <v>24255.771374151314</v>
      </c>
      <c r="M82" s="22">
        <f t="shared" ref="M82" si="201">M37+M39+(M25/2)+M76</f>
        <v>11722.510642400632</v>
      </c>
      <c r="N82" s="22">
        <f t="shared" ref="N82" si="202">N37+N39+(N25/2)+N76</f>
        <v>15525.936158999926</v>
      </c>
      <c r="O82" s="22">
        <f t="shared" si="199"/>
        <v>25090.741052701076</v>
      </c>
      <c r="P82" s="22">
        <f t="shared" si="199"/>
        <v>16902.97241746627</v>
      </c>
      <c r="Q82" s="22">
        <f t="shared" ref="Q82:R82" si="203">Q37+Q39+(Q25/2)+Q76</f>
        <v>19476.171676978811</v>
      </c>
      <c r="R82" s="22">
        <f t="shared" si="203"/>
        <v>24823.572489093534</v>
      </c>
      <c r="S82" s="22">
        <f t="shared" ref="S82:V82" si="204">S37+S39+(S25/2)+S76</f>
        <v>47192.171034911291</v>
      </c>
      <c r="T82" s="22">
        <f t="shared" si="204"/>
        <v>85726.106657179713</v>
      </c>
      <c r="U82" s="22">
        <f t="shared" si="204"/>
        <v>180703.77882720099</v>
      </c>
      <c r="V82" s="22">
        <f t="shared" si="204"/>
        <v>97108.893739125982</v>
      </c>
      <c r="W82" s="63" t="s">
        <v>162</v>
      </c>
    </row>
    <row r="83" spans="1:23" ht="15" customHeight="1" x14ac:dyDescent="0.25">
      <c r="A83" s="4" t="s">
        <v>41</v>
      </c>
      <c r="B83" s="4" t="s">
        <v>4</v>
      </c>
      <c r="C83" s="36">
        <f t="shared" ref="C83" si="205">C37+C40+C25+C76</f>
        <v>18476.238757629821</v>
      </c>
      <c r="D83" s="36">
        <f t="shared" ref="D83:J83" si="206">D37+D40+D25+D76</f>
        <v>29266.360998107273</v>
      </c>
      <c r="E83" s="36">
        <f t="shared" si="206"/>
        <v>31206.983975132884</v>
      </c>
      <c r="F83" s="36">
        <f t="shared" si="206"/>
        <v>16262.071715170121</v>
      </c>
      <c r="G83" s="36">
        <f t="shared" ref="G83" si="207">G37+G40+G25+G76</f>
        <v>14753.006987897392</v>
      </c>
      <c r="H83" s="36">
        <f t="shared" si="206"/>
        <v>42643.803313254386</v>
      </c>
      <c r="I83" s="36">
        <f t="shared" si="206"/>
        <v>61263.675984017667</v>
      </c>
      <c r="J83" s="36">
        <f t="shared" si="206"/>
        <v>23990.535836669791</v>
      </c>
      <c r="K83" s="22">
        <f t="shared" ref="K83:P83" si="208">K37+K40+K25+K76</f>
        <v>23202.993941012381</v>
      </c>
      <c r="L83" s="22">
        <f t="shared" ref="L83" si="209">L37+L40+L25+L76</f>
        <v>26829.771374151314</v>
      </c>
      <c r="M83" s="22">
        <f t="shared" ref="M83" si="210">M37+M40+M25+M76</f>
        <v>12848.510642400632</v>
      </c>
      <c r="N83" s="22">
        <f t="shared" ref="N83" si="211">N37+N40+N25+N76</f>
        <v>16882.436158999924</v>
      </c>
      <c r="O83" s="22">
        <f t="shared" si="208"/>
        <v>33557.99105270108</v>
      </c>
      <c r="P83" s="22">
        <f t="shared" si="208"/>
        <v>23138.97241746627</v>
      </c>
      <c r="Q83" s="22">
        <f t="shared" ref="Q83:R83" si="212">Q37+Q40+Q25+Q76</f>
        <v>23606.578449086519</v>
      </c>
      <c r="R83" s="22">
        <f t="shared" si="212"/>
        <v>30272.377489093531</v>
      </c>
      <c r="S83" s="22">
        <f t="shared" ref="S83:V83" si="213">S37+S40+S25+S76</f>
        <v>67844.264581817348</v>
      </c>
      <c r="T83" s="22">
        <f t="shared" si="213"/>
        <v>100501.10665717971</v>
      </c>
      <c r="U83" s="22">
        <f t="shared" si="213"/>
        <v>228603.77882720099</v>
      </c>
      <c r="V83" s="22">
        <f t="shared" si="213"/>
        <v>113050.70031490206</v>
      </c>
      <c r="W83" s="63" t="s">
        <v>163</v>
      </c>
    </row>
    <row r="84" spans="1:23" ht="15" customHeight="1" x14ac:dyDescent="0.25">
      <c r="A84" s="4" t="s">
        <v>34</v>
      </c>
      <c r="B84" s="4" t="s">
        <v>4</v>
      </c>
      <c r="C84" s="36">
        <f t="shared" ref="C84" si="214">C37+C41+C25+C76</f>
        <v>20250.238757629821</v>
      </c>
      <c r="D84" s="36">
        <f t="shared" ref="D84:J84" si="215">D37+D41+D25+D76</f>
        <v>33328.360998107273</v>
      </c>
      <c r="E84" s="36">
        <f t="shared" si="215"/>
        <v>34256.983975132884</v>
      </c>
      <c r="F84" s="36">
        <f t="shared" si="215"/>
        <v>19682.071715170117</v>
      </c>
      <c r="G84" s="36">
        <f t="shared" ref="G84" si="216">G37+G41+G25+G76</f>
        <v>19153.006987897392</v>
      </c>
      <c r="H84" s="36">
        <f t="shared" si="215"/>
        <v>41723.803313254386</v>
      </c>
      <c r="I84" s="36">
        <f t="shared" si="215"/>
        <v>70353.675984017667</v>
      </c>
      <c r="J84" s="36">
        <f t="shared" si="215"/>
        <v>28070.535836669791</v>
      </c>
      <c r="K84" s="22">
        <f t="shared" ref="K84:P84" si="217">K37+K41+K25+K76</f>
        <v>30459.993941012381</v>
      </c>
      <c r="L84" s="22">
        <f t="shared" ref="L84" si="218">L37+L41+L25+L76</f>
        <v>33409.771374151314</v>
      </c>
      <c r="M84" s="22">
        <f t="shared" ref="M84" si="219">M37+M41+M25+M76</f>
        <v>21703.51064240063</v>
      </c>
      <c r="N84" s="22">
        <f t="shared" ref="N84" si="220">N37+N41+N25+N76</f>
        <v>23913.436158999924</v>
      </c>
      <c r="O84" s="22">
        <f t="shared" si="217"/>
        <v>35427.99105270108</v>
      </c>
      <c r="P84" s="22">
        <f t="shared" si="217"/>
        <v>28718.97241746627</v>
      </c>
      <c r="Q84" s="22">
        <f t="shared" ref="Q84:R84" si="221">Q37+Q41+Q25+Q76</f>
        <v>28606.578449086519</v>
      </c>
      <c r="R84" s="22">
        <f t="shared" si="221"/>
        <v>36772.377489093531</v>
      </c>
      <c r="S84" s="22">
        <f t="shared" ref="S84:V84" si="222">S37+S41+S25+S76</f>
        <v>73844.264581817348</v>
      </c>
      <c r="T84" s="22">
        <f t="shared" si="222"/>
        <v>124501.10665717971</v>
      </c>
      <c r="U84" s="22">
        <f t="shared" si="222"/>
        <v>273603.77882720099</v>
      </c>
      <c r="V84" s="22">
        <f t="shared" si="222"/>
        <v>143050.70031490206</v>
      </c>
      <c r="W84" s="63" t="s">
        <v>164</v>
      </c>
    </row>
    <row r="85" spans="1:23" ht="15" customHeight="1" x14ac:dyDescent="0.25">
      <c r="A85" s="4" t="s">
        <v>86</v>
      </c>
      <c r="B85" s="4"/>
      <c r="C85" s="36">
        <f>C76+C37+C25</f>
        <v>17750.238757629821</v>
      </c>
      <c r="D85" s="36">
        <f>D76+D37+D25</f>
        <v>27328.360998107273</v>
      </c>
      <c r="E85" s="36">
        <f t="shared" ref="E85:P85" si="223">E76+E37+E25</f>
        <v>28256.983975132884</v>
      </c>
      <c r="F85" s="36">
        <f t="shared" ref="F85:G85" si="224">F76+F37+F25</f>
        <v>14682.071715170121</v>
      </c>
      <c r="G85" s="36">
        <f t="shared" si="224"/>
        <v>14153.006987897392</v>
      </c>
      <c r="H85" s="36">
        <f t="shared" si="223"/>
        <v>41723.803313254386</v>
      </c>
      <c r="I85" s="36">
        <f t="shared" ref="I85:J85" si="225">I76+I37+I25</f>
        <v>57893.675984017667</v>
      </c>
      <c r="J85" s="36">
        <f t="shared" si="225"/>
        <v>23070.535836669791</v>
      </c>
      <c r="K85" s="36">
        <f t="shared" si="223"/>
        <v>23202.993941012381</v>
      </c>
      <c r="L85" s="36">
        <f t="shared" ref="L85" si="226">L76+L37+L25</f>
        <v>26829.771374151314</v>
      </c>
      <c r="M85" s="36">
        <f t="shared" ref="M85" si="227">M76+M37+M25</f>
        <v>12848.510642400632</v>
      </c>
      <c r="N85" s="36">
        <f t="shared" ref="N85" si="228">N76+N37+N25</f>
        <v>16882.436158999924</v>
      </c>
      <c r="O85" s="36">
        <f t="shared" si="223"/>
        <v>28657.991052701076</v>
      </c>
      <c r="P85" s="36">
        <f t="shared" si="223"/>
        <v>20553.97241746627</v>
      </c>
      <c r="Q85" s="36">
        <f t="shared" ref="Q85:R85" si="229">Q76+Q37+Q25</f>
        <v>23606.578449086519</v>
      </c>
      <c r="R85" s="36">
        <f t="shared" si="229"/>
        <v>30272.377489093531</v>
      </c>
      <c r="S85" s="36">
        <f t="shared" ref="S85:V85" si="230">S76+S37+S25</f>
        <v>61844.264581817348</v>
      </c>
      <c r="T85" s="36">
        <f t="shared" si="230"/>
        <v>100501.10665717971</v>
      </c>
      <c r="U85" s="36">
        <f t="shared" si="230"/>
        <v>228603.77882720099</v>
      </c>
      <c r="V85" s="36">
        <f t="shared" si="230"/>
        <v>113050.70031490206</v>
      </c>
      <c r="W85" s="63" t="s">
        <v>165</v>
      </c>
    </row>
    <row r="86" spans="1:23" ht="15" customHeight="1" x14ac:dyDescent="0.25">
      <c r="A86" s="4" t="s">
        <v>85</v>
      </c>
      <c r="B86" s="4" t="s">
        <v>4</v>
      </c>
      <c r="C86" s="36">
        <f t="shared" ref="C86" si="231">C28+C37+C76</f>
        <v>19410.238757629821</v>
      </c>
      <c r="D86" s="36">
        <f t="shared" ref="D86:J86" si="232">D28+D37+D76</f>
        <v>27328.360998107273</v>
      </c>
      <c r="E86" s="36">
        <f t="shared" si="232"/>
        <v>31056.983975132884</v>
      </c>
      <c r="F86" s="36">
        <f t="shared" si="232"/>
        <v>16482.071715170121</v>
      </c>
      <c r="G86" s="36">
        <f t="shared" ref="G86" si="233">G28+G37+G76</f>
        <v>15953.006987897392</v>
      </c>
      <c r="H86" s="36">
        <f t="shared" si="232"/>
        <v>41723.803313254386</v>
      </c>
      <c r="I86" s="36">
        <f t="shared" si="232"/>
        <v>57893.675984017667</v>
      </c>
      <c r="J86" s="36">
        <f t="shared" si="232"/>
        <v>23070.535836669791</v>
      </c>
      <c r="K86" s="22">
        <f t="shared" ref="K86:O86" si="234">K28+K37+K76</f>
        <v>32863.993941012377</v>
      </c>
      <c r="L86" s="22">
        <f t="shared" ref="L86" si="235">L28+L37+L76</f>
        <v>29877.771374151314</v>
      </c>
      <c r="M86" s="22">
        <f t="shared" ref="M86" si="236">M28+M37+M76</f>
        <v>12848.510642400632</v>
      </c>
      <c r="N86" s="22">
        <f t="shared" ref="N86" si="237">N28+N37+N76</f>
        <v>19930.436158999924</v>
      </c>
      <c r="O86" s="22">
        <f t="shared" si="234"/>
        <v>32257.991052701076</v>
      </c>
      <c r="P86" s="22"/>
      <c r="Q86" s="22">
        <f t="shared" ref="Q86:R86" si="238">Q28+Q37+Q76</f>
        <v>23606.578449086519</v>
      </c>
      <c r="R86" s="22">
        <f t="shared" si="238"/>
        <v>36272.377489093531</v>
      </c>
      <c r="S86" s="22">
        <f t="shared" ref="S86:V86" si="239">S28+S37+S76</f>
        <v>61844.264581817348</v>
      </c>
      <c r="T86" s="22">
        <f t="shared" si="239"/>
        <v>100501.10665717971</v>
      </c>
      <c r="U86" s="22">
        <f t="shared" si="239"/>
        <v>228603.77882720099</v>
      </c>
      <c r="V86" s="22">
        <f t="shared" si="239"/>
        <v>113050.70031490206</v>
      </c>
      <c r="W86" s="63" t="s">
        <v>166</v>
      </c>
    </row>
    <row r="87" spans="1:23" ht="15" customHeight="1" x14ac:dyDescent="0.25">
      <c r="A87" s="4" t="s">
        <v>90</v>
      </c>
      <c r="B87" s="4" t="s">
        <v>4</v>
      </c>
      <c r="C87" s="36">
        <f>C76+C37+C25*0.05</f>
        <v>13665.45963262982</v>
      </c>
      <c r="D87" s="36">
        <f>D76+D37+D25*0.05</f>
        <v>18390.778409122886</v>
      </c>
      <c r="E87" s="36">
        <f t="shared" ref="E87:P87" si="240">E76+E37+E25*0.05</f>
        <v>17830.539232955216</v>
      </c>
      <c r="F87" s="36">
        <f t="shared" ref="F87:G87" si="241">F76+F37+F25*0.05</f>
        <v>9708.9955651701202</v>
      </c>
      <c r="G87" s="36">
        <f t="shared" si="241"/>
        <v>10511.633237897393</v>
      </c>
      <c r="H87" s="36">
        <f t="shared" si="240"/>
        <v>22403.939090054639</v>
      </c>
      <c r="I87" s="36">
        <f t="shared" ref="I87:J87" si="242">I76+I37+I25*0.05</f>
        <v>28988.599784017671</v>
      </c>
      <c r="J87" s="36">
        <f t="shared" si="242"/>
        <v>14056.366138150677</v>
      </c>
      <c r="K87" s="36">
        <f t="shared" si="240"/>
        <v>18205.993941012381</v>
      </c>
      <c r="L87" s="36">
        <f t="shared" ref="L87" si="243">L76+L37+L25*0.05</f>
        <v>19849.171374151316</v>
      </c>
      <c r="M87" s="36">
        <f t="shared" ref="M87" si="244">M76+M37+M25*0.05</f>
        <v>9781.9106424006313</v>
      </c>
      <c r="N87" s="36">
        <f t="shared" ref="N87" si="245">N76+N37+N25*0.05</f>
        <v>12224.586158999926</v>
      </c>
      <c r="O87" s="36">
        <f t="shared" si="240"/>
        <v>19759.816052701077</v>
      </c>
      <c r="P87" s="36">
        <f t="shared" si="240"/>
        <v>12689.872417466268</v>
      </c>
      <c r="Q87" s="36">
        <f t="shared" ref="Q87:R87" si="246">Q76+Q37+Q25*0.05</f>
        <v>13953.80558208187</v>
      </c>
      <c r="R87" s="36">
        <f t="shared" si="246"/>
        <v>18114.647989093533</v>
      </c>
      <c r="S87" s="36">
        <f t="shared" ref="S87:V87" si="247">S76+S37+S25*0.05</f>
        <v>28305.286842695845</v>
      </c>
      <c r="T87" s="36">
        <f t="shared" si="247"/>
        <v>49628.606657179706</v>
      </c>
      <c r="U87" s="36">
        <f t="shared" si="247"/>
        <v>95033.778827201008</v>
      </c>
      <c r="V87" s="36">
        <f t="shared" si="247"/>
        <v>51221.267820927511</v>
      </c>
      <c r="W87" s="63" t="s">
        <v>167</v>
      </c>
    </row>
    <row r="88" spans="1:23" ht="15" customHeight="1" x14ac:dyDescent="0.25">
      <c r="A88" s="4"/>
      <c r="B88" s="4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3" ht="15" customHeight="1" x14ac:dyDescent="0.25">
      <c r="A89" s="4" t="s">
        <v>188</v>
      </c>
      <c r="B89" s="4" t="s">
        <v>4</v>
      </c>
      <c r="C89" s="4">
        <v>19500</v>
      </c>
      <c r="D89" s="40">
        <v>33000</v>
      </c>
      <c r="E89" s="40"/>
      <c r="F89" s="40"/>
      <c r="G89" s="40"/>
      <c r="H89" s="40"/>
      <c r="I89" s="40">
        <v>70000</v>
      </c>
      <c r="J89" s="40"/>
      <c r="K89" s="40">
        <v>26099</v>
      </c>
      <c r="L89" s="40">
        <v>33724</v>
      </c>
      <c r="M89" s="40">
        <v>21772</v>
      </c>
      <c r="N89" s="40">
        <v>23541</v>
      </c>
      <c r="O89" s="40">
        <v>33906</v>
      </c>
      <c r="P89" s="40">
        <v>31750</v>
      </c>
      <c r="Q89" s="40"/>
      <c r="R89" s="40"/>
      <c r="S89" s="40"/>
      <c r="T89" s="40">
        <v>124000</v>
      </c>
      <c r="U89" s="40">
        <v>275000</v>
      </c>
      <c r="V89" s="40"/>
    </row>
    <row r="90" spans="1:23" ht="15" customHeight="1" x14ac:dyDescent="0.25">
      <c r="A90" s="4" t="s">
        <v>189</v>
      </c>
      <c r="B90" s="4" t="s">
        <v>186</v>
      </c>
      <c r="C90" s="36">
        <f>100*(C89/C84)</f>
        <v>96.295160928178447</v>
      </c>
      <c r="D90" s="36">
        <f>100*(D89/D84)</f>
        <v>99.014770038868932</v>
      </c>
      <c r="E90" s="36">
        <f t="shared" ref="E90:S90" si="248">100*(E89/E84)</f>
        <v>0</v>
      </c>
      <c r="F90" s="36">
        <f t="shared" ref="F90:G90" si="249">100*(F89/F84)</f>
        <v>0</v>
      </c>
      <c r="G90" s="36">
        <f t="shared" si="249"/>
        <v>0</v>
      </c>
      <c r="H90" s="36">
        <f t="shared" si="248"/>
        <v>0</v>
      </c>
      <c r="I90" s="36">
        <f t="shared" ref="I90:J90" si="250">100*(I89/I84)</f>
        <v>99.497288550923741</v>
      </c>
      <c r="J90" s="36">
        <f t="shared" si="250"/>
        <v>0</v>
      </c>
      <c r="K90" s="36">
        <f t="shared" si="248"/>
        <v>85.682879814560337</v>
      </c>
      <c r="L90" s="36">
        <f t="shared" si="248"/>
        <v>100.94052911146767</v>
      </c>
      <c r="M90" s="36">
        <f t="shared" si="248"/>
        <v>100.31556810659733</v>
      </c>
      <c r="N90" s="36">
        <f t="shared" si="248"/>
        <v>98.442565273666219</v>
      </c>
      <c r="O90" s="36">
        <f t="shared" si="248"/>
        <v>95.703987137071834</v>
      </c>
      <c r="P90" s="36">
        <f t="shared" si="248"/>
        <v>110.55409482788569</v>
      </c>
      <c r="Q90" s="36">
        <f t="shared" si="248"/>
        <v>0</v>
      </c>
      <c r="R90" s="36">
        <f t="shared" si="248"/>
        <v>0</v>
      </c>
      <c r="S90" s="36">
        <f t="shared" si="248"/>
        <v>0</v>
      </c>
      <c r="T90" s="36">
        <f t="shared" ref="T90:V90" si="251">100*(T89/T84)</f>
        <v>99.597508270701923</v>
      </c>
      <c r="U90" s="36">
        <f t="shared" si="251"/>
        <v>100.51030770802359</v>
      </c>
      <c r="V90" s="36">
        <f t="shared" si="251"/>
        <v>0</v>
      </c>
    </row>
    <row r="91" spans="1:23" ht="15" customHeight="1" x14ac:dyDescent="0.25">
      <c r="A91" s="4"/>
      <c r="B91" s="4"/>
      <c r="C91" s="4"/>
      <c r="D91" s="40"/>
      <c r="E91" s="40"/>
      <c r="F91" s="40"/>
      <c r="G91" s="40"/>
      <c r="H91" s="40"/>
      <c r="I91" s="40"/>
      <c r="J91" s="4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3" ht="15" customHeight="1" x14ac:dyDescent="0.25">
      <c r="A92" s="4" t="s">
        <v>49</v>
      </c>
      <c r="B92" s="4" t="s">
        <v>53</v>
      </c>
      <c r="C92" s="36">
        <f t="shared" ref="C92" si="252">C31*C35/C82</f>
        <v>0.95089953517851655</v>
      </c>
      <c r="D92" s="36">
        <f t="shared" ref="D92:J92" si="253">D31*D35/D82</f>
        <v>1.071105549170619</v>
      </c>
      <c r="E92" s="36">
        <f t="shared" si="253"/>
        <v>1.3052971517209846</v>
      </c>
      <c r="F92" s="36">
        <f t="shared" si="253"/>
        <v>1.3817975024426996</v>
      </c>
      <c r="G92" s="36">
        <f t="shared" ref="G92" si="254">G31*G35/G82</f>
        <v>1.3633005503566018</v>
      </c>
      <c r="H92" s="36">
        <f t="shared" si="253"/>
        <v>1.2316994965580297</v>
      </c>
      <c r="I92" s="36">
        <f t="shared" si="253"/>
        <v>0.86861204815034587</v>
      </c>
      <c r="J92" s="36">
        <f t="shared" si="253"/>
        <v>1.0391642295583619</v>
      </c>
      <c r="K92" s="22">
        <f t="shared" ref="K92:P92" si="255">K31*K35/K82</f>
        <v>0.99520057365275771</v>
      </c>
      <c r="L92" s="22">
        <f t="shared" ref="L92" si="256">L31*L35/L82</f>
        <v>0.781669636786119</v>
      </c>
      <c r="M92" s="22">
        <f t="shared" ref="M92" si="257">M31*M35/M82</f>
        <v>1.1038590959513124</v>
      </c>
      <c r="N92" s="22">
        <f t="shared" ref="N92" si="258">N31*N35/N82</f>
        <v>1.0517884289079715</v>
      </c>
      <c r="O92" s="22">
        <f t="shared" si="255"/>
        <v>1.2602258312572252</v>
      </c>
      <c r="P92" s="22">
        <f t="shared" si="255"/>
        <v>1.1540573763134656</v>
      </c>
      <c r="Q92" s="22">
        <f t="shared" ref="Q92:R92" si="259">Q31*Q35/Q82</f>
        <v>0.97555106389097734</v>
      </c>
      <c r="R92" s="22">
        <f t="shared" si="259"/>
        <v>1.2407561407018375</v>
      </c>
      <c r="S92" s="22">
        <f t="shared" ref="S92:V92" si="260">S31*S35/S82</f>
        <v>0.65265062667312179</v>
      </c>
      <c r="T92" s="22">
        <f t="shared" si="260"/>
        <v>0.58325289634289501</v>
      </c>
      <c r="U92" s="22">
        <f t="shared" si="260"/>
        <v>0.55339185848252548</v>
      </c>
      <c r="V92" s="22">
        <f t="shared" si="260"/>
        <v>0.61786307813560748</v>
      </c>
      <c r="W92" s="63" t="s">
        <v>168</v>
      </c>
    </row>
    <row r="93" spans="1:23" ht="15" customHeight="1" x14ac:dyDescent="0.25">
      <c r="A93" s="4" t="s">
        <v>50</v>
      </c>
      <c r="B93" s="4" t="s">
        <v>53</v>
      </c>
      <c r="C93" s="36">
        <f t="shared" ref="C93" si="261">C31*C35/C84</f>
        <v>0.76542307404449539</v>
      </c>
      <c r="D93" s="36">
        <f t="shared" ref="D93:J93" si="262">D31*D35/D84</f>
        <v>0.7501118942338556</v>
      </c>
      <c r="E93" s="36">
        <f t="shared" si="262"/>
        <v>0.90492496427890079</v>
      </c>
      <c r="F93" s="36">
        <f t="shared" si="262"/>
        <v>0.88913404306477206</v>
      </c>
      <c r="G93" s="36">
        <f t="shared" ref="G93" si="263">G31*G35/G84</f>
        <v>0.91369464915133636</v>
      </c>
      <c r="H93" s="36">
        <f t="shared" si="262"/>
        <v>0.95868537438180312</v>
      </c>
      <c r="I93" s="36">
        <f t="shared" si="262"/>
        <v>0.56855593457670717</v>
      </c>
      <c r="J93" s="36">
        <f t="shared" si="262"/>
        <v>0.71249085220073027</v>
      </c>
      <c r="K93" s="22">
        <f t="shared" ref="K93:P93" si="264">K31*K35/K84</f>
        <v>0.70794498652100812</v>
      </c>
      <c r="L93" s="22">
        <f t="shared" ref="L93" si="265">L31*L35/L84</f>
        <v>0.56749864546122253</v>
      </c>
      <c r="M93" s="22">
        <f t="shared" ref="M93" si="266">M31*M35/M84</f>
        <v>0.59621690763336821</v>
      </c>
      <c r="N93" s="22">
        <f t="shared" ref="N93" si="267">N31*N35/N84</f>
        <v>0.68287969539058213</v>
      </c>
      <c r="O93" s="22">
        <f t="shared" si="264"/>
        <v>0.89251462079697141</v>
      </c>
      <c r="P93" s="22">
        <f t="shared" si="264"/>
        <v>0.67923739458506027</v>
      </c>
      <c r="Q93" s="22">
        <f t="shared" ref="Q93:R93" si="268">Q31*Q35/Q84</f>
        <v>0.66418289184132462</v>
      </c>
      <c r="R93" s="22">
        <f t="shared" si="268"/>
        <v>0.83758522301515848</v>
      </c>
      <c r="S93" s="22">
        <f t="shared" ref="S93:V93" si="269">S31*S35/S84</f>
        <v>0.41709400417786646</v>
      </c>
      <c r="T93" s="22">
        <f t="shared" si="269"/>
        <v>0.40160285593024975</v>
      </c>
      <c r="U93" s="22">
        <f t="shared" si="269"/>
        <v>0.36549202802917669</v>
      </c>
      <c r="V93" s="22">
        <f t="shared" si="269"/>
        <v>0.41943171105013882</v>
      </c>
      <c r="W93" s="63" t="s">
        <v>169</v>
      </c>
    </row>
    <row r="94" spans="1:23" ht="15" customHeight="1" x14ac:dyDescent="0.25">
      <c r="A94" s="4"/>
      <c r="B94" s="4"/>
      <c r="C94" s="40"/>
      <c r="D94" s="40"/>
      <c r="E94" s="40"/>
      <c r="F94" s="40"/>
      <c r="G94" s="40"/>
      <c r="H94" s="40"/>
      <c r="I94" s="40"/>
      <c r="J94" s="40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3" ht="15" customHeight="1" x14ac:dyDescent="0.25">
      <c r="A95" s="4" t="s">
        <v>51</v>
      </c>
      <c r="B95" s="4" t="s">
        <v>5</v>
      </c>
      <c r="C95" s="36">
        <f t="shared" ref="C95" si="270">C82/C4</f>
        <v>514.20678257507313</v>
      </c>
      <c r="D95" s="36">
        <f t="shared" ref="D95:J95" si="271">D82/D4</f>
        <v>383.88766713486353</v>
      </c>
      <c r="E95" s="36">
        <f t="shared" si="271"/>
        <v>289.62660340548661</v>
      </c>
      <c r="F95" s="36">
        <f t="shared" si="271"/>
        <v>324.73495423513128</v>
      </c>
      <c r="G95" s="36">
        <f t="shared" ref="G95" si="272">G82/G4</f>
        <v>329.14088430506132</v>
      </c>
      <c r="H95" s="36">
        <f t="shared" si="271"/>
        <v>315.2956672048216</v>
      </c>
      <c r="I95" s="36">
        <f t="shared" si="271"/>
        <v>354.23444603090513</v>
      </c>
      <c r="J95" s="36">
        <f t="shared" si="271"/>
        <v>363.13652821403662</v>
      </c>
      <c r="K95" s="22">
        <f t="shared" ref="K95:P95" si="273">K82/K4</f>
        <v>382.82674807442368</v>
      </c>
      <c r="L95" s="22">
        <f t="shared" ref="L95" si="274">L82/L4</f>
        <v>354.09885217739145</v>
      </c>
      <c r="M95" s="22">
        <f t="shared" ref="M95" si="275">M82/M4</f>
        <v>420.61394482958849</v>
      </c>
      <c r="N95" s="22">
        <f t="shared" ref="N95" si="276">N82/N4</f>
        <v>417.81313667922302</v>
      </c>
      <c r="O95" s="22">
        <f t="shared" si="273"/>
        <v>321.51128975783024</v>
      </c>
      <c r="P95" s="22">
        <f t="shared" si="273"/>
        <v>395.4836784620091</v>
      </c>
      <c r="Q95" s="22">
        <f t="shared" ref="Q95:R95" si="277">Q82/Q4</f>
        <v>385.66676588076854</v>
      </c>
      <c r="R95" s="22">
        <f t="shared" si="277"/>
        <v>306.46385789004364</v>
      </c>
      <c r="S95" s="22">
        <f t="shared" ref="S95:V95" si="278">S82/S4</f>
        <v>326.58941892672175</v>
      </c>
      <c r="T95" s="22">
        <f t="shared" si="278"/>
        <v>466.96866029621805</v>
      </c>
      <c r="U95" s="22">
        <f t="shared" si="278"/>
        <v>778.89559839310778</v>
      </c>
      <c r="V95" s="22">
        <f t="shared" si="278"/>
        <v>346.81747763973567</v>
      </c>
      <c r="W95" s="63" t="s">
        <v>170</v>
      </c>
    </row>
    <row r="96" spans="1:23" ht="15" customHeight="1" x14ac:dyDescent="0.25">
      <c r="A96" s="4" t="s">
        <v>52</v>
      </c>
      <c r="B96" s="4" t="s">
        <v>5</v>
      </c>
      <c r="C96" s="36">
        <f t="shared" ref="C96" si="279">C84/C4</f>
        <v>638.80879361608265</v>
      </c>
      <c r="D96" s="36">
        <f t="shared" ref="D96:J96" si="280">D84/D4</f>
        <v>548.16383220571174</v>
      </c>
      <c r="E96" s="36">
        <f t="shared" si="280"/>
        <v>417.76809725771807</v>
      </c>
      <c r="F96" s="36">
        <f t="shared" si="280"/>
        <v>504.6685055171825</v>
      </c>
      <c r="G96" s="36">
        <f t="shared" ref="G96" si="281">G84/G4</f>
        <v>491.10274327942028</v>
      </c>
      <c r="H96" s="36">
        <f t="shared" si="280"/>
        <v>405.08546906072218</v>
      </c>
      <c r="I96" s="36">
        <f t="shared" si="280"/>
        <v>541.182122953982</v>
      </c>
      <c r="J96" s="36">
        <f t="shared" si="280"/>
        <v>529.63275163527908</v>
      </c>
      <c r="K96" s="22">
        <f t="shared" ref="K96:P96" si="282">K84/K4</f>
        <v>538.1624371203601</v>
      </c>
      <c r="L96" s="22">
        <f t="shared" ref="L96" si="283">L84/L4</f>
        <v>487.73388867374183</v>
      </c>
      <c r="M96" s="22">
        <f t="shared" ref="M96" si="284">M84/M4</f>
        <v>778.74096312883489</v>
      </c>
      <c r="N96" s="22">
        <f t="shared" ref="N96" si="285">N84/N4</f>
        <v>643.52626907965362</v>
      </c>
      <c r="O96" s="22">
        <f t="shared" si="282"/>
        <v>453.97220723604659</v>
      </c>
      <c r="P96" s="22">
        <f t="shared" si="282"/>
        <v>671.94600883168619</v>
      </c>
      <c r="Q96" s="22">
        <f t="shared" ref="Q96:R96" si="286">Q84/Q4</f>
        <v>566.4668999819113</v>
      </c>
      <c r="R96" s="22">
        <f t="shared" si="286"/>
        <v>453.9799690011547</v>
      </c>
      <c r="S96" s="22">
        <f t="shared" ref="S96:V96" si="287">S84/S4</f>
        <v>511.03297288454911</v>
      </c>
      <c r="T96" s="22">
        <f t="shared" si="287"/>
        <v>678.18447901285379</v>
      </c>
      <c r="U96" s="22">
        <f t="shared" si="287"/>
        <v>1179.3266328758664</v>
      </c>
      <c r="V96" s="22">
        <f t="shared" si="287"/>
        <v>510.89535826750733</v>
      </c>
      <c r="W96" s="63" t="s">
        <v>171</v>
      </c>
    </row>
    <row r="97" spans="1:28" ht="15" customHeight="1" x14ac:dyDescent="0.25">
      <c r="A97" s="4"/>
      <c r="B97" s="4"/>
      <c r="C97" s="40"/>
      <c r="D97" s="40"/>
      <c r="E97" s="40"/>
      <c r="F97" s="40"/>
      <c r="G97" s="40"/>
      <c r="K97" s="24"/>
      <c r="L97" s="24"/>
      <c r="M97" s="24"/>
      <c r="N97" s="24"/>
      <c r="O97" s="24"/>
      <c r="P97" s="24"/>
      <c r="Q97" s="41"/>
      <c r="R97" s="41"/>
      <c r="S97" s="41"/>
      <c r="T97" s="41"/>
      <c r="U97" s="41"/>
      <c r="V97" s="41"/>
    </row>
    <row r="98" spans="1:28" s="4" customFormat="1" ht="15" customHeight="1" x14ac:dyDescent="0.25">
      <c r="A98" s="4" t="s">
        <v>70</v>
      </c>
      <c r="B98" s="4" t="s">
        <v>81</v>
      </c>
      <c r="C98" s="34">
        <v>1.8</v>
      </c>
      <c r="D98" s="34">
        <v>2.35</v>
      </c>
      <c r="E98" s="34">
        <v>2.35</v>
      </c>
      <c r="F98" s="34">
        <v>1.6</v>
      </c>
      <c r="G98" s="34">
        <v>1.6</v>
      </c>
      <c r="H98" s="34">
        <v>2.35</v>
      </c>
      <c r="I98" s="34">
        <v>2.35</v>
      </c>
      <c r="J98" s="34">
        <v>2.1</v>
      </c>
      <c r="K98" s="25">
        <v>2.2999999999999998</v>
      </c>
      <c r="L98" s="25">
        <v>2.2999999999999998</v>
      </c>
      <c r="M98" s="25">
        <v>2</v>
      </c>
      <c r="N98" s="25">
        <v>1.8</v>
      </c>
      <c r="O98" s="25">
        <v>2</v>
      </c>
      <c r="P98" s="25">
        <v>1.6</v>
      </c>
      <c r="Q98" s="51">
        <v>1.6</v>
      </c>
      <c r="R98" s="51">
        <v>1.6</v>
      </c>
      <c r="S98" s="51">
        <v>1.6</v>
      </c>
      <c r="T98" s="51">
        <v>2.15</v>
      </c>
      <c r="U98" s="51">
        <v>2.1</v>
      </c>
      <c r="V98" s="51">
        <v>2.35</v>
      </c>
      <c r="W98" s="64" t="s">
        <v>172</v>
      </c>
      <c r="X98" s="41"/>
      <c r="Y98" s="41"/>
      <c r="Z98" s="41"/>
      <c r="AA98" s="41"/>
      <c r="AB98" s="41"/>
    </row>
    <row r="99" spans="1:28" s="4" customFormat="1" ht="15" customHeight="1" x14ac:dyDescent="0.25">
      <c r="A99" s="4" t="s">
        <v>69</v>
      </c>
      <c r="C99" s="36">
        <f t="shared" ref="C99" si="288">1-(0.32*C98)+0.4*POWER(C98,2)-(0.01*POWER(C98,3))</f>
        <v>1.6616800000000003</v>
      </c>
      <c r="D99" s="36">
        <f t="shared" ref="D99:J99" si="289">1-(0.32*D98)+0.4*POWER(D98,2)-(0.01*POWER(D98,3))</f>
        <v>2.3272212500000009</v>
      </c>
      <c r="E99" s="36">
        <f t="shared" si="289"/>
        <v>2.3272212500000009</v>
      </c>
      <c r="F99" s="36">
        <f t="shared" si="289"/>
        <v>1.4710400000000001</v>
      </c>
      <c r="G99" s="36">
        <f t="shared" ref="G99" si="290">1-(0.32*G98)+0.4*POWER(G98,2)-(0.01*POWER(G98,3))</f>
        <v>1.4710400000000001</v>
      </c>
      <c r="H99" s="36">
        <f t="shared" si="289"/>
        <v>2.3272212500000009</v>
      </c>
      <c r="I99" s="36">
        <f t="shared" si="289"/>
        <v>2.3272212500000009</v>
      </c>
      <c r="J99" s="36">
        <f t="shared" si="289"/>
        <v>1.99939</v>
      </c>
      <c r="K99" s="22">
        <f t="shared" ref="K99:P99" si="291">1-(0.32*K98)+0.4*POWER(K98,2)-(0.01*POWER(K98,3))</f>
        <v>2.2583299999999999</v>
      </c>
      <c r="L99" s="22">
        <f t="shared" ref="L99" si="292">1-(0.32*L98)+0.4*POWER(L98,2)-(0.01*POWER(L98,3))</f>
        <v>2.2583299999999999</v>
      </c>
      <c r="M99" s="22">
        <f t="shared" ref="M99" si="293">1-(0.32*M98)+0.4*POWER(M98,2)-(0.01*POWER(M98,3))</f>
        <v>1.88</v>
      </c>
      <c r="N99" s="22">
        <f t="shared" ref="N99" si="294">1-(0.32*N98)+0.4*POWER(N98,2)-(0.01*POWER(N98,3))</f>
        <v>1.6616800000000003</v>
      </c>
      <c r="O99" s="22">
        <f t="shared" si="291"/>
        <v>1.88</v>
      </c>
      <c r="P99" s="22">
        <f t="shared" si="291"/>
        <v>1.4710400000000001</v>
      </c>
      <c r="Q99" s="22">
        <f t="shared" ref="Q99:R99" si="295">1-(0.32*Q98)+0.4*POWER(Q98,2)-(0.01*POWER(Q98,3))</f>
        <v>1.4710400000000001</v>
      </c>
      <c r="R99" s="22">
        <f t="shared" si="295"/>
        <v>1.4710400000000001</v>
      </c>
      <c r="S99" s="22">
        <f t="shared" ref="S99:V99" si="296">1-(0.32*S98)+0.4*POWER(S98,2)-(0.01*POWER(S98,3))</f>
        <v>1.4710400000000001</v>
      </c>
      <c r="T99" s="22">
        <f t="shared" si="296"/>
        <v>2.0616162500000002</v>
      </c>
      <c r="U99" s="22">
        <f t="shared" si="296"/>
        <v>1.99939</v>
      </c>
      <c r="V99" s="22">
        <f t="shared" si="296"/>
        <v>2.3272212500000009</v>
      </c>
      <c r="W99" s="64"/>
      <c r="X99" s="41"/>
      <c r="Y99" s="41"/>
      <c r="Z99" s="41"/>
      <c r="AA99" s="41"/>
      <c r="AB99" s="41"/>
    </row>
    <row r="100" spans="1:28" s="4" customFormat="1" ht="15" customHeight="1" x14ac:dyDescent="0.25">
      <c r="A100" s="4" t="s">
        <v>77</v>
      </c>
      <c r="B100" s="4" t="s">
        <v>68</v>
      </c>
      <c r="C100" s="36">
        <f>15.94*SQRT((2696*C93*C99)/0.2)</f>
        <v>2087.1695712179503</v>
      </c>
      <c r="D100" s="36">
        <f>15.94*SQRT((2696*D93*D99)/0.2)</f>
        <v>2445.2041604075962</v>
      </c>
      <c r="E100" s="36">
        <f t="shared" ref="E100:H100" si="297">15.94*SQRT((2696*E93*E99)/0.2)</f>
        <v>2685.7054763820743</v>
      </c>
      <c r="F100" s="36">
        <f t="shared" ref="F100:G100" si="298">15.94*SQRT((2696*F93*F99)/0.2)</f>
        <v>2116.5528810641936</v>
      </c>
      <c r="G100" s="36">
        <f t="shared" si="298"/>
        <v>2145.5865841782784</v>
      </c>
      <c r="H100" s="36">
        <f t="shared" si="297"/>
        <v>2764.331680584397</v>
      </c>
      <c r="I100" s="36">
        <f t="shared" ref="I100:J100" si="299">15.94*SQRT((2696*I93*I99)/0.2)</f>
        <v>2128.8188083404089</v>
      </c>
      <c r="J100" s="36">
        <f t="shared" si="299"/>
        <v>2208.8776827175484</v>
      </c>
      <c r="K100" s="22">
        <f t="shared" ref="K100:P100" si="300">15.94*SQRT((2696*K93*K99)/0.2)</f>
        <v>2340.0585306926387</v>
      </c>
      <c r="L100" s="22">
        <f t="shared" ref="L100" si="301">15.94*SQRT((2696*L93*L99)/0.2)</f>
        <v>2095.1223013712647</v>
      </c>
      <c r="M100" s="22">
        <f t="shared" ref="M100" si="302">15.94*SQRT((2696*M93*M99)/0.2)</f>
        <v>1959.3604235242926</v>
      </c>
      <c r="N100" s="22">
        <f t="shared" ref="N100" si="303">15.94*SQRT((2696*N93*N99)/0.2)</f>
        <v>1971.4195515932333</v>
      </c>
      <c r="O100" s="22">
        <f t="shared" si="300"/>
        <v>2397.2860457385582</v>
      </c>
      <c r="P100" s="22">
        <f t="shared" si="300"/>
        <v>1849.9342706588288</v>
      </c>
      <c r="Q100" s="22">
        <f t="shared" ref="Q100:R100" si="304">15.94*SQRT((2696*Q93*Q99)/0.2)</f>
        <v>1829.318584794145</v>
      </c>
      <c r="R100" s="22">
        <f t="shared" si="304"/>
        <v>2054.2817482349965</v>
      </c>
      <c r="S100" s="22">
        <f t="shared" ref="S100:V100" si="305">15.94*SQRT((2696*S93*S99)/0.2)</f>
        <v>1449.6477225909875</v>
      </c>
      <c r="T100" s="22">
        <f t="shared" si="305"/>
        <v>1683.9747443054557</v>
      </c>
      <c r="U100" s="22">
        <f t="shared" si="305"/>
        <v>1582.05280598894</v>
      </c>
      <c r="V100" s="22">
        <f t="shared" si="305"/>
        <v>1828.4484941259745</v>
      </c>
      <c r="W100" s="64" t="s">
        <v>173</v>
      </c>
      <c r="X100" s="41"/>
      <c r="Y100" s="41"/>
      <c r="Z100" s="41"/>
      <c r="AA100" s="41"/>
      <c r="AB100" s="41"/>
    </row>
    <row r="101" spans="1:28" s="4" customFormat="1" ht="15" customHeight="1" x14ac:dyDescent="0.25">
      <c r="C101" s="42"/>
      <c r="D101" s="42"/>
      <c r="E101" s="42"/>
      <c r="F101" s="42"/>
      <c r="G101" s="42"/>
      <c r="H101" s="42"/>
      <c r="I101" s="42"/>
      <c r="J101" s="42"/>
      <c r="K101" s="26"/>
      <c r="L101" s="26"/>
      <c r="M101" s="26"/>
      <c r="N101" s="26"/>
      <c r="O101" s="26"/>
      <c r="P101" s="26"/>
      <c r="Q101" s="41"/>
      <c r="R101" s="41"/>
      <c r="S101" s="41"/>
      <c r="T101" s="41"/>
      <c r="U101" s="41"/>
      <c r="V101" s="41"/>
      <c r="W101" s="64"/>
      <c r="X101" s="41"/>
      <c r="Y101" s="41"/>
      <c r="Z101" s="41"/>
      <c r="AA101" s="41"/>
      <c r="AB101" s="41"/>
    </row>
    <row r="102" spans="1:28" s="4" customFormat="1" ht="15" customHeight="1" x14ac:dyDescent="0.25">
      <c r="A102" s="4" t="s">
        <v>72</v>
      </c>
      <c r="B102" s="4" t="s">
        <v>68</v>
      </c>
      <c r="C102" s="34">
        <v>915</v>
      </c>
      <c r="D102" s="34">
        <v>915</v>
      </c>
      <c r="E102" s="34">
        <v>915</v>
      </c>
      <c r="F102" s="34">
        <v>915</v>
      </c>
      <c r="G102" s="34">
        <v>915</v>
      </c>
      <c r="H102" s="11">
        <v>915</v>
      </c>
      <c r="I102" s="11">
        <v>915</v>
      </c>
      <c r="J102" s="11">
        <v>915</v>
      </c>
      <c r="K102" s="25">
        <v>915</v>
      </c>
      <c r="L102" s="25">
        <v>915</v>
      </c>
      <c r="M102" s="25">
        <v>915</v>
      </c>
      <c r="N102" s="25">
        <v>915</v>
      </c>
      <c r="O102" s="25">
        <v>915</v>
      </c>
      <c r="P102" s="25">
        <v>915</v>
      </c>
      <c r="Q102" s="25">
        <v>915</v>
      </c>
      <c r="R102" s="25">
        <v>915</v>
      </c>
      <c r="S102" s="25">
        <v>915</v>
      </c>
      <c r="T102" s="25">
        <v>915</v>
      </c>
      <c r="U102" s="25">
        <v>915</v>
      </c>
      <c r="V102" s="25">
        <v>915</v>
      </c>
      <c r="W102" s="64" t="s">
        <v>174</v>
      </c>
      <c r="X102" s="41"/>
      <c r="Y102" s="41"/>
      <c r="Z102" s="41"/>
      <c r="AA102" s="41"/>
      <c r="AB102" s="41"/>
    </row>
    <row r="103" spans="1:28" s="4" customFormat="1" ht="15" customHeight="1" x14ac:dyDescent="0.25">
      <c r="A103" s="4" t="s">
        <v>72</v>
      </c>
      <c r="B103" s="4" t="s">
        <v>75</v>
      </c>
      <c r="C103" s="36">
        <f>C102/3.6</f>
        <v>254.16666666666666</v>
      </c>
      <c r="D103" s="36">
        <f>D102/3.6</f>
        <v>254.16666666666666</v>
      </c>
      <c r="E103" s="36">
        <f t="shared" ref="E103:H103" si="306">E102/3.6</f>
        <v>254.16666666666666</v>
      </c>
      <c r="F103" s="36">
        <f t="shared" ref="F103:G103" si="307">F102/3.6</f>
        <v>254.16666666666666</v>
      </c>
      <c r="G103" s="36">
        <f t="shared" si="307"/>
        <v>254.16666666666666</v>
      </c>
      <c r="H103" s="36">
        <f t="shared" si="306"/>
        <v>254.16666666666666</v>
      </c>
      <c r="I103" s="36">
        <f t="shared" ref="I103:J103" si="308">I102/3.6</f>
        <v>254.16666666666666</v>
      </c>
      <c r="J103" s="36">
        <f t="shared" si="308"/>
        <v>254.16666666666666</v>
      </c>
      <c r="K103" s="22">
        <f t="shared" ref="K103:P103" si="309">K102/3.6</f>
        <v>254.16666666666666</v>
      </c>
      <c r="L103" s="22">
        <f t="shared" ref="L103" si="310">L102/3.6</f>
        <v>254.16666666666666</v>
      </c>
      <c r="M103" s="22">
        <f t="shared" ref="M103" si="311">M102/3.6</f>
        <v>254.16666666666666</v>
      </c>
      <c r="N103" s="22">
        <f t="shared" ref="N103" si="312">N102/3.6</f>
        <v>254.16666666666666</v>
      </c>
      <c r="O103" s="22">
        <f t="shared" si="309"/>
        <v>254.16666666666666</v>
      </c>
      <c r="P103" s="22">
        <f t="shared" si="309"/>
        <v>254.16666666666666</v>
      </c>
      <c r="Q103" s="22">
        <f t="shared" ref="Q103:R103" si="313">Q102/3.6</f>
        <v>254.16666666666666</v>
      </c>
      <c r="R103" s="22">
        <f t="shared" si="313"/>
        <v>254.16666666666666</v>
      </c>
      <c r="S103" s="22">
        <f t="shared" ref="S103:V103" si="314">S102/3.6</f>
        <v>254.16666666666666</v>
      </c>
      <c r="T103" s="22">
        <f t="shared" si="314"/>
        <v>254.16666666666666</v>
      </c>
      <c r="U103" s="22">
        <f t="shared" si="314"/>
        <v>254.16666666666666</v>
      </c>
      <c r="V103" s="22">
        <f t="shared" si="314"/>
        <v>254.16666666666666</v>
      </c>
      <c r="W103" s="64"/>
      <c r="X103" s="41"/>
      <c r="Y103" s="41"/>
      <c r="Z103" s="41"/>
      <c r="AA103" s="41"/>
      <c r="AB103" s="41"/>
    </row>
    <row r="104" spans="1:28" s="4" customFormat="1" ht="15" customHeight="1" x14ac:dyDescent="0.25">
      <c r="A104" s="4" t="s">
        <v>82</v>
      </c>
      <c r="B104" s="4" t="s">
        <v>81</v>
      </c>
      <c r="C104" s="36">
        <f>C102/1062</f>
        <v>0.8615819209039548</v>
      </c>
      <c r="D104" s="36">
        <f>D102/1062</f>
        <v>0.8615819209039548</v>
      </c>
      <c r="E104" s="36">
        <f t="shared" ref="E104:H104" si="315">E102/1062</f>
        <v>0.8615819209039548</v>
      </c>
      <c r="F104" s="36">
        <f t="shared" ref="F104:G104" si="316">F102/1062</f>
        <v>0.8615819209039548</v>
      </c>
      <c r="G104" s="36">
        <f t="shared" si="316"/>
        <v>0.8615819209039548</v>
      </c>
      <c r="H104" s="36">
        <f t="shared" si="315"/>
        <v>0.8615819209039548</v>
      </c>
      <c r="I104" s="36">
        <f t="shared" ref="I104:J104" si="317">I102/1062</f>
        <v>0.8615819209039548</v>
      </c>
      <c r="J104" s="36">
        <f t="shared" si="317"/>
        <v>0.8615819209039548</v>
      </c>
      <c r="K104" s="22">
        <f t="shared" ref="K104:P104" si="318">K102/1062</f>
        <v>0.8615819209039548</v>
      </c>
      <c r="L104" s="22">
        <f t="shared" ref="L104" si="319">L102/1062</f>
        <v>0.8615819209039548</v>
      </c>
      <c r="M104" s="22">
        <f t="shared" ref="M104" si="320">M102/1062</f>
        <v>0.8615819209039548</v>
      </c>
      <c r="N104" s="22">
        <f t="shared" ref="N104" si="321">N102/1062</f>
        <v>0.8615819209039548</v>
      </c>
      <c r="O104" s="22">
        <f t="shared" si="318"/>
        <v>0.8615819209039548</v>
      </c>
      <c r="P104" s="22">
        <f t="shared" si="318"/>
        <v>0.8615819209039548</v>
      </c>
      <c r="Q104" s="22">
        <f t="shared" ref="Q104:R104" si="322">Q102/1062</f>
        <v>0.8615819209039548</v>
      </c>
      <c r="R104" s="22">
        <f t="shared" si="322"/>
        <v>0.8615819209039548</v>
      </c>
      <c r="S104" s="22">
        <f t="shared" ref="S104:V104" si="323">S102/1062</f>
        <v>0.8615819209039548</v>
      </c>
      <c r="T104" s="22">
        <f t="shared" si="323"/>
        <v>0.8615819209039548</v>
      </c>
      <c r="U104" s="22">
        <f t="shared" si="323"/>
        <v>0.8615819209039548</v>
      </c>
      <c r="V104" s="22">
        <f t="shared" si="323"/>
        <v>0.8615819209039548</v>
      </c>
      <c r="W104" s="64"/>
      <c r="X104" s="41"/>
      <c r="Y104" s="41"/>
      <c r="Z104" s="41"/>
      <c r="AA104" s="41"/>
      <c r="AB104" s="41"/>
    </row>
    <row r="105" spans="1:28" s="4" customFormat="1" ht="15" customHeight="1" x14ac:dyDescent="0.25">
      <c r="A105" s="4" t="s">
        <v>73</v>
      </c>
      <c r="B105" s="4" t="s">
        <v>68</v>
      </c>
      <c r="C105" s="34">
        <v>1100</v>
      </c>
      <c r="D105" s="34">
        <v>1100</v>
      </c>
      <c r="E105" s="34">
        <v>1380</v>
      </c>
      <c r="F105" s="34">
        <v>1380</v>
      </c>
      <c r="G105" s="34">
        <v>1380</v>
      </c>
      <c r="H105" s="34">
        <v>1890</v>
      </c>
      <c r="I105" s="34">
        <v>1890</v>
      </c>
      <c r="J105" s="34">
        <v>1100</v>
      </c>
      <c r="K105" s="25">
        <v>1100</v>
      </c>
      <c r="L105" s="25">
        <v>1100</v>
      </c>
      <c r="M105" s="25">
        <v>1100</v>
      </c>
      <c r="N105" s="25">
        <v>1100</v>
      </c>
      <c r="O105" s="25">
        <v>1593</v>
      </c>
      <c r="P105" s="25">
        <v>1100</v>
      </c>
      <c r="Q105" s="25">
        <v>1100</v>
      </c>
      <c r="R105" s="25">
        <v>1380</v>
      </c>
      <c r="S105" s="25">
        <v>1380</v>
      </c>
      <c r="T105" s="25">
        <v>1380</v>
      </c>
      <c r="U105" s="25">
        <v>1380</v>
      </c>
      <c r="V105" s="25">
        <v>2500</v>
      </c>
      <c r="W105" s="64" t="s">
        <v>175</v>
      </c>
      <c r="X105" s="41"/>
      <c r="Y105" s="41"/>
      <c r="Z105" s="41"/>
      <c r="AA105" s="41"/>
      <c r="AB105" s="41"/>
    </row>
    <row r="106" spans="1:28" s="4" customFormat="1" ht="15" customHeight="1" x14ac:dyDescent="0.25">
      <c r="A106" s="4" t="s">
        <v>73</v>
      </c>
      <c r="B106" s="4" t="s">
        <v>75</v>
      </c>
      <c r="C106" s="36">
        <f>C105/3.6</f>
        <v>305.55555555555554</v>
      </c>
      <c r="D106" s="36">
        <f>D105/3.6</f>
        <v>305.55555555555554</v>
      </c>
      <c r="E106" s="36">
        <f t="shared" ref="E106:H106" si="324">E105/3.6</f>
        <v>383.33333333333331</v>
      </c>
      <c r="F106" s="36">
        <f t="shared" ref="F106:G106" si="325">F105/3.6</f>
        <v>383.33333333333331</v>
      </c>
      <c r="G106" s="36">
        <f t="shared" si="325"/>
        <v>383.33333333333331</v>
      </c>
      <c r="H106" s="36">
        <f t="shared" si="324"/>
        <v>525</v>
      </c>
      <c r="I106" s="36">
        <f t="shared" ref="I106:J106" si="326">I105/3.6</f>
        <v>525</v>
      </c>
      <c r="J106" s="36">
        <f t="shared" si="326"/>
        <v>305.55555555555554</v>
      </c>
      <c r="K106" s="22">
        <f t="shared" ref="K106:P106" si="327">K105/3.6</f>
        <v>305.55555555555554</v>
      </c>
      <c r="L106" s="22">
        <f t="shared" ref="L106" si="328">L105/3.6</f>
        <v>305.55555555555554</v>
      </c>
      <c r="M106" s="22">
        <f t="shared" ref="M106" si="329">M105/3.6</f>
        <v>305.55555555555554</v>
      </c>
      <c r="N106" s="22">
        <f t="shared" ref="N106" si="330">N105/3.6</f>
        <v>305.55555555555554</v>
      </c>
      <c r="O106" s="22">
        <f t="shared" si="327"/>
        <v>442.5</v>
      </c>
      <c r="P106" s="22">
        <f t="shared" si="327"/>
        <v>305.55555555555554</v>
      </c>
      <c r="Q106" s="22">
        <f t="shared" ref="Q106:R106" si="331">Q105/3.6</f>
        <v>305.55555555555554</v>
      </c>
      <c r="R106" s="22">
        <f t="shared" si="331"/>
        <v>383.33333333333331</v>
      </c>
      <c r="S106" s="22">
        <f t="shared" ref="S106:V106" si="332">S105/3.6</f>
        <v>383.33333333333331</v>
      </c>
      <c r="T106" s="22">
        <f t="shared" si="332"/>
        <v>383.33333333333331</v>
      </c>
      <c r="U106" s="22">
        <f t="shared" si="332"/>
        <v>383.33333333333331</v>
      </c>
      <c r="V106" s="22">
        <f t="shared" si="332"/>
        <v>694.44444444444446</v>
      </c>
      <c r="W106" s="64"/>
      <c r="X106" s="41"/>
      <c r="Y106" s="41"/>
      <c r="Z106" s="41"/>
      <c r="AA106" s="41"/>
      <c r="AB106" s="41"/>
    </row>
    <row r="107" spans="1:28" s="4" customFormat="1" ht="15" customHeight="1" x14ac:dyDescent="0.25">
      <c r="C107" s="40"/>
      <c r="D107" s="40"/>
      <c r="E107" s="40"/>
      <c r="F107" s="40"/>
      <c r="G107" s="40"/>
      <c r="H107" s="40"/>
      <c r="I107" s="40"/>
      <c r="J107" s="40"/>
      <c r="K107" s="24"/>
      <c r="L107" s="24"/>
      <c r="M107" s="24"/>
      <c r="N107" s="24"/>
      <c r="O107" s="24"/>
      <c r="P107" s="24"/>
      <c r="Q107" s="41"/>
      <c r="R107" s="41"/>
      <c r="S107" s="41"/>
      <c r="T107" s="41"/>
      <c r="U107" s="41"/>
      <c r="V107" s="41"/>
      <c r="W107" s="64"/>
      <c r="X107" s="41"/>
      <c r="Y107" s="41"/>
      <c r="Z107" s="41"/>
      <c r="AA107" s="41"/>
      <c r="AB107" s="41"/>
    </row>
    <row r="108" spans="1:28" s="4" customFormat="1" ht="15" customHeight="1" x14ac:dyDescent="0.25">
      <c r="A108" s="4" t="s">
        <v>88</v>
      </c>
      <c r="B108" s="4" t="s">
        <v>71</v>
      </c>
      <c r="C108" s="73">
        <f>410*(C12*C104/C32)*((C25/C85)/SQRT(1-C25/C85))</f>
        <v>1181.3724246324366</v>
      </c>
      <c r="D108" s="49">
        <f>410*(D12*D104/D32)*((D25/D85)/SQRT(1-D25/D85))</f>
        <v>2351.838008074255</v>
      </c>
      <c r="E108" s="36">
        <f>410*(E12*E104/E32)*((E25/E85)/SQRT(1-E25/E85))</f>
        <v>3502.0678814710186</v>
      </c>
      <c r="F108" s="36">
        <f>410*(F12*F104/F32)*((F25/F85)/SQRT(1-F25/F85))</f>
        <v>2778.2061999513739</v>
      </c>
      <c r="G108" s="36">
        <f>410*(G12*G104/G32)*((G25/G85)/SQRT(1-G25/G85))</f>
        <v>1982.3816851550187</v>
      </c>
      <c r="H108" s="36">
        <f t="shared" ref="H108:P108" si="333">410*(H12*H104/H32)*((H25/H85)/SQRT(1-H25/H85))</f>
        <v>4292.9265158783182</v>
      </c>
      <c r="I108" s="36">
        <f t="shared" ref="I108:J108" si="334">410*(I12*I104/I32)*((I25/I85)/SQRT(1-I25/I85))</f>
        <v>4542.4290417544989</v>
      </c>
      <c r="J108" s="36">
        <f t="shared" si="334"/>
        <v>3386.1733771186969</v>
      </c>
      <c r="K108" s="49">
        <f t="shared" si="333"/>
        <v>1149.3988774743536</v>
      </c>
      <c r="L108" s="60">
        <f t="shared" ref="L108" si="335">410*(L12*L104/L32)*((L25/L85)/SQRT(1-L25/L85))</f>
        <v>1430.8701487181652</v>
      </c>
      <c r="M108" s="49">
        <f t="shared" ref="M108" si="336">410*(M12*M104/M32)*((M25/M85)/SQRT(1-M25/M85))</f>
        <v>1638.8385361312878</v>
      </c>
      <c r="N108" s="36">
        <f t="shared" ref="N108" si="337">410*(N12*N104/N32)*((N25/N85)/SQRT(1-N25/N85))</f>
        <v>1375.1313036193851</v>
      </c>
      <c r="O108" s="36">
        <f t="shared" si="333"/>
        <v>2511.1534089796351</v>
      </c>
      <c r="P108" s="36">
        <f t="shared" si="333"/>
        <v>2900.0500619074073</v>
      </c>
      <c r="Q108" s="36">
        <f t="shared" ref="Q108:R108" si="338">410*(Q12*Q104/Q32)*((Q25/Q85)/SQRT(1-Q25/Q85))</f>
        <v>2471.3659860684347</v>
      </c>
      <c r="R108" s="36">
        <f t="shared" si="338"/>
        <v>3269.5156309788622</v>
      </c>
      <c r="S108" s="36">
        <f t="shared" ref="S108:V108" si="339">410*(S12*S104/S32)*((S25/S85)/SQRT(1-S25/S85))</f>
        <v>5863.9154259491397</v>
      </c>
      <c r="T108" s="49">
        <f t="shared" si="339"/>
        <v>3094.0438789954655</v>
      </c>
      <c r="U108" s="49">
        <f t="shared" si="339"/>
        <v>3941.928076112184</v>
      </c>
      <c r="V108" s="36">
        <f t="shared" si="339"/>
        <v>9141.1897768546005</v>
      </c>
      <c r="W108" s="64" t="s">
        <v>176</v>
      </c>
      <c r="X108" s="41"/>
      <c r="Y108" s="41"/>
      <c r="Z108" s="41"/>
      <c r="AA108" s="41"/>
      <c r="AB108" s="41"/>
    </row>
    <row r="109" spans="1:28" s="4" customFormat="1" ht="15" customHeight="1" x14ac:dyDescent="0.25">
      <c r="A109" s="4" t="s">
        <v>87</v>
      </c>
      <c r="B109" s="4" t="s">
        <v>71</v>
      </c>
      <c r="C109" s="36">
        <f>472*(C12*C104/C32)*((C28/C86)/SQRT(1-C28/C86))*((C85/C4)/(C86/C4))</f>
        <v>1648.5013174020107</v>
      </c>
      <c r="D109" s="36"/>
      <c r="E109" s="36">
        <f>472*(E12*E104/E32)*((E28/E86)/SQRT(1-E28/E86))*((E85/E4)/(E86/E4))</f>
        <v>4391.5509183791264</v>
      </c>
      <c r="F109" s="36">
        <f>472*(F12*F104/F32)*((F28/F86)/SQRT(1-F28/F86))*((F85/F4)/(F86/F4))</f>
        <v>3613.5763132075631</v>
      </c>
      <c r="G109" s="36">
        <f>472*(G12*G104/G32)*((G28/G86)/SQRT(1-G28/G86))*((G85/G4)/(G86/G4))</f>
        <v>2802.558546559565</v>
      </c>
      <c r="H109" s="36">
        <f t="shared" ref="H109:O109" si="340">472*(H12*H104/H32)*((H28/H86)/SQRT(1-H28/H86))*((H85/H4)/(H86/H4))</f>
        <v>4942.1007694989421</v>
      </c>
      <c r="I109" s="36">
        <f t="shared" ref="I109:J109" si="341">472*(I12*I104/I32)*((I28/I86)/SQRT(1-I28/I86))*((I85/I4)/(I86/I4))</f>
        <v>5229.3329456295696</v>
      </c>
      <c r="J109" s="36">
        <f t="shared" si="341"/>
        <v>3898.2288634146948</v>
      </c>
      <c r="K109" s="36">
        <f t="shared" si="340"/>
        <v>2226.7764721150852</v>
      </c>
      <c r="L109" s="36">
        <f t="shared" ref="L109" si="342">472*(L12*L104/L32)*((L28/L86)/SQRT(1-L28/L86))*((L85/L4)/(L86/L4))</f>
        <v>1983.1640759773466</v>
      </c>
      <c r="M109" s="59"/>
      <c r="N109" s="36">
        <f t="shared" ref="N109" si="343">472*(N12*N104/N32)*((N28/N86)/SQRT(1-N28/N86))*((N85/N4)/(N86/N4))</f>
        <v>2001.4264751390128</v>
      </c>
      <c r="O109" s="36">
        <f t="shared" si="340"/>
        <v>3351.115930304456</v>
      </c>
      <c r="P109" s="36"/>
      <c r="Q109" s="36">
        <f t="shared" ref="Q109:R109" si="344">472*(Q12*Q104/Q32)*((Q28/Q86)/SQRT(1-Q28/Q86))*((Q85/Q4)/(Q86/Q4))</f>
        <v>2845.08474493732</v>
      </c>
      <c r="R109" s="36">
        <f t="shared" si="344"/>
        <v>4215.2281445759045</v>
      </c>
      <c r="S109" s="36">
        <f t="shared" ref="S109:V109" si="345">472*(S12*S104/S32)*((S28/S86)/SQRT(1-S28/S86))*((S85/S4)/(S86/S4))</f>
        <v>6750.6538562146188</v>
      </c>
      <c r="T109" s="36">
        <f t="shared" si="345"/>
        <v>3561.9236850874627</v>
      </c>
      <c r="U109" s="36">
        <f t="shared" si="345"/>
        <v>4538.0245168901238</v>
      </c>
      <c r="V109" s="36">
        <f t="shared" si="345"/>
        <v>10523.516035793591</v>
      </c>
      <c r="W109" s="64" t="s">
        <v>177</v>
      </c>
      <c r="X109" s="41"/>
      <c r="Y109" s="41"/>
      <c r="Z109" s="41"/>
      <c r="AA109" s="41"/>
      <c r="AB109" s="41"/>
    </row>
    <row r="110" spans="1:28" s="4" customFormat="1" ht="15" customHeight="1" x14ac:dyDescent="0.25">
      <c r="A110" s="4" t="s">
        <v>74</v>
      </c>
      <c r="B110" s="4" t="s">
        <v>71</v>
      </c>
      <c r="C110" s="12">
        <f>0.81*(C11*C106/C33)*((C25/C85)/SQRT(1-C25/C85))</f>
        <v>454.78927103519442</v>
      </c>
      <c r="D110" s="12">
        <f>0.81*(D11*D106/D33)*((D25/D85)/SQRT(1-D25/D85))</f>
        <v>905.37976931172977</v>
      </c>
      <c r="E110" s="12">
        <f t="shared" ref="E110:P110" si="346">0.81*(E11*E106/E33)*((E25/E85)/SQRT(1-E25/E85))</f>
        <v>1691.3533282407914</v>
      </c>
      <c r="F110" s="12">
        <f t="shared" ref="F110:G110" si="347">0.81*(F11*F106/F33)*((F25/F85)/SQRT(1-F25/F85))</f>
        <v>1341.7582016866006</v>
      </c>
      <c r="G110" s="12">
        <f t="shared" si="347"/>
        <v>957.40801563851005</v>
      </c>
      <c r="H110" s="12">
        <f t="shared" si="346"/>
        <v>2839.5266873933865</v>
      </c>
      <c r="I110" s="12">
        <f t="shared" ref="I110:J110" si="348">0.81*(I11*I106/I33)*((I25/I85)/SQRT(1-I25/I85))</f>
        <v>3004.5584153246814</v>
      </c>
      <c r="J110" s="12">
        <f t="shared" si="348"/>
        <v>1303.5646419948707</v>
      </c>
      <c r="K110" s="12">
        <f t="shared" si="346"/>
        <v>442.48051394789553</v>
      </c>
      <c r="L110" s="12">
        <f t="shared" ref="L110" si="349">0.81*(L11*L106/L33)*((L25/L85)/SQRT(1-L25/L85))</f>
        <v>550.83763452835149</v>
      </c>
      <c r="M110" s="58">
        <f t="shared" ref="M110" si="350">0.81*(M11*M106/M33)*((M25/M85)/SQRT(1-M25/M85))</f>
        <v>630.89857834071995</v>
      </c>
      <c r="N110" s="12">
        <f t="shared" ref="N110" si="351">0.81*(N11*N106/N33)*((N25/N85)/SQRT(1-N25/N85))</f>
        <v>529.38002454671948</v>
      </c>
      <c r="O110" s="12">
        <f t="shared" si="346"/>
        <v>1399.9731837251388</v>
      </c>
      <c r="P110" s="12">
        <f t="shared" si="346"/>
        <v>1116.4232600323278</v>
      </c>
      <c r="Q110" s="12">
        <f t="shared" ref="Q110:R110" si="352">0.81*(Q11*Q106/Q33)*((Q25/Q85)/SQRT(1-Q25/Q85))</f>
        <v>951.39408355069372</v>
      </c>
      <c r="R110" s="12">
        <f t="shared" si="352"/>
        <v>1579.0402503187893</v>
      </c>
      <c r="S110" s="12">
        <f t="shared" ref="S110:V110" si="353">0.81*(S11*S106/S33)*((S25/S85)/SQRT(1-S25/S85))</f>
        <v>2832.0275928048632</v>
      </c>
      <c r="T110" s="12">
        <f t="shared" si="353"/>
        <v>1494.2946823360528</v>
      </c>
      <c r="U110" s="12">
        <f t="shared" si="353"/>
        <v>1903.7875326441861</v>
      </c>
      <c r="V110" s="12">
        <f t="shared" si="353"/>
        <v>7997.8532293288072</v>
      </c>
      <c r="W110" s="64" t="s">
        <v>178</v>
      </c>
      <c r="X110" s="41"/>
      <c r="Y110" s="41"/>
      <c r="Z110" s="41"/>
      <c r="AA110" s="41"/>
      <c r="AB110" s="41"/>
    </row>
    <row r="111" spans="1:28" s="4" customFormat="1" ht="15" customHeight="1" x14ac:dyDescent="0.25"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1"/>
      <c r="R111" s="41"/>
      <c r="S111" s="41"/>
      <c r="T111" s="41"/>
      <c r="U111" s="41"/>
      <c r="V111" s="41"/>
      <c r="W111" s="64"/>
      <c r="X111" s="41"/>
      <c r="Y111" s="41"/>
      <c r="Z111" s="41"/>
      <c r="AA111" s="41"/>
      <c r="AB111" s="41"/>
    </row>
    <row r="112" spans="1:28" s="4" customFormat="1" ht="15" customHeight="1" x14ac:dyDescent="0.25">
      <c r="A112" s="4" t="s">
        <v>102</v>
      </c>
      <c r="B112" s="4" t="s">
        <v>196</v>
      </c>
      <c r="C112" s="12">
        <f>C108/C102</f>
        <v>1.2911174039698761</v>
      </c>
      <c r="D112" s="12">
        <f>D108/D102</f>
        <v>2.570314762922683</v>
      </c>
      <c r="E112" s="12">
        <f t="shared" ref="E112:P112" si="354">E108/E102</f>
        <v>3.8273965917716049</v>
      </c>
      <c r="F112" s="12">
        <f t="shared" ref="F112:G112" si="355">F108/F102</f>
        <v>3.0362909289086053</v>
      </c>
      <c r="G112" s="12">
        <f t="shared" si="355"/>
        <v>2.1665373608251568</v>
      </c>
      <c r="H112" s="12">
        <f t="shared" si="354"/>
        <v>4.6917229681730257</v>
      </c>
      <c r="I112" s="12">
        <f t="shared" ref="I112:J112" si="356">I108/I102</f>
        <v>4.9644033243218564</v>
      </c>
      <c r="J112" s="12">
        <f t="shared" si="356"/>
        <v>3.7007359312772645</v>
      </c>
      <c r="K112" s="12">
        <f t="shared" si="354"/>
        <v>1.2561736365839931</v>
      </c>
      <c r="L112" s="12">
        <f t="shared" ref="L112" si="357">L108/L102</f>
        <v>1.5637925122602898</v>
      </c>
      <c r="M112" s="12">
        <f t="shared" ref="M112" si="358">M108/M102</f>
        <v>1.7910803673565987</v>
      </c>
      <c r="N112" s="12">
        <f t="shared" ref="N112" si="359">N108/N102</f>
        <v>1.5028757416605301</v>
      </c>
      <c r="O112" s="12">
        <f t="shared" si="354"/>
        <v>2.7444299551690001</v>
      </c>
      <c r="P112" s="12">
        <f t="shared" si="354"/>
        <v>3.1694536195709371</v>
      </c>
      <c r="Q112" s="12">
        <f t="shared" ref="Q112:R112" si="360">Q108/Q102</f>
        <v>2.7009464328616772</v>
      </c>
      <c r="R112" s="12">
        <f t="shared" si="360"/>
        <v>3.5732411267528548</v>
      </c>
      <c r="S112" s="12">
        <f t="shared" ref="S112:V112" si="361">S108/S102</f>
        <v>6.4086507387422289</v>
      </c>
      <c r="T112" s="12">
        <f t="shared" si="361"/>
        <v>3.3814687202136238</v>
      </c>
      <c r="U112" s="12">
        <f t="shared" si="361"/>
        <v>4.3081181159696005</v>
      </c>
      <c r="V112" s="12">
        <f t="shared" si="361"/>
        <v>9.9903713408246997</v>
      </c>
      <c r="W112" s="64" t="s">
        <v>179</v>
      </c>
      <c r="X112" s="41"/>
      <c r="Y112" s="41"/>
      <c r="Z112" s="41"/>
      <c r="AA112" s="41"/>
      <c r="AB112" s="41"/>
    </row>
    <row r="113" spans="1:28" s="4" customFormat="1" ht="15" customHeight="1" x14ac:dyDescent="0.25">
      <c r="A113" s="4" t="s">
        <v>103</v>
      </c>
      <c r="B113" s="4" t="s">
        <v>196</v>
      </c>
      <c r="C113" s="12">
        <f>C109/C102</f>
        <v>1.8016407840459134</v>
      </c>
      <c r="D113" s="12">
        <f>D109/D102</f>
        <v>0</v>
      </c>
      <c r="E113" s="12">
        <f t="shared" ref="E113:P113" si="362">E109/E102</f>
        <v>4.799509200414346</v>
      </c>
      <c r="F113" s="12">
        <f t="shared" ref="F113:G113" si="363">F109/F102</f>
        <v>3.9492637302814897</v>
      </c>
      <c r="G113" s="12">
        <f t="shared" si="363"/>
        <v>3.0629055153656446</v>
      </c>
      <c r="H113" s="12">
        <f t="shared" si="362"/>
        <v>5.4012030267747999</v>
      </c>
      <c r="I113" s="12">
        <f t="shared" ref="I113:J113" si="364">I109/I102</f>
        <v>5.7151179733656496</v>
      </c>
      <c r="J113" s="12">
        <f t="shared" si="364"/>
        <v>4.2603594135679721</v>
      </c>
      <c r="K113" s="12">
        <f t="shared" si="362"/>
        <v>2.4336354886503662</v>
      </c>
      <c r="L113" s="12">
        <f t="shared" ref="L113" si="365">L109/L102</f>
        <v>2.1673924327621275</v>
      </c>
      <c r="M113" s="12">
        <f t="shared" ref="M113" si="366">M109/M102</f>
        <v>0</v>
      </c>
      <c r="N113" s="12">
        <f t="shared" ref="N113" si="367">N109/N102</f>
        <v>2.1873513389497408</v>
      </c>
      <c r="O113" s="12">
        <f t="shared" si="362"/>
        <v>3.6624217817535039</v>
      </c>
      <c r="P113" s="12">
        <f t="shared" si="362"/>
        <v>0</v>
      </c>
      <c r="Q113" s="12">
        <f t="shared" ref="Q113:R113" si="368">Q109/Q102</f>
        <v>3.1093822349041749</v>
      </c>
      <c r="R113" s="12">
        <f t="shared" si="368"/>
        <v>4.6068067153835024</v>
      </c>
      <c r="S113" s="12">
        <f t="shared" ref="S113:V113" si="369">S109/S102</f>
        <v>7.3777637772837368</v>
      </c>
      <c r="T113" s="12">
        <f t="shared" si="369"/>
        <v>3.8928127705873909</v>
      </c>
      <c r="U113" s="12">
        <f t="shared" si="369"/>
        <v>4.9595896359454903</v>
      </c>
      <c r="V113" s="12">
        <f t="shared" si="369"/>
        <v>11.50111042163234</v>
      </c>
      <c r="W113" s="64" t="s">
        <v>180</v>
      </c>
      <c r="X113" s="41"/>
      <c r="Y113" s="41"/>
      <c r="Z113" s="41"/>
      <c r="AA113" s="41"/>
      <c r="AB113" s="41"/>
    </row>
    <row r="114" spans="1:28" s="4" customFormat="1" ht="15" customHeight="1" x14ac:dyDescent="0.25">
      <c r="A114" s="4" t="s">
        <v>104</v>
      </c>
      <c r="B114" s="4" t="s">
        <v>196</v>
      </c>
      <c r="C114" s="36">
        <f>C110/C105</f>
        <v>0.41344479185017674</v>
      </c>
      <c r="D114" s="36">
        <f>D110/D105</f>
        <v>0.82307251755611799</v>
      </c>
      <c r="E114" s="36">
        <f t="shared" ref="E114:P114" si="370">E110/E105</f>
        <v>1.2256183537976748</v>
      </c>
      <c r="F114" s="36">
        <f t="shared" ref="F114:G114" si="371">F110/F105</f>
        <v>0.97228855194681207</v>
      </c>
      <c r="G114" s="36">
        <f t="shared" si="371"/>
        <v>0.69377392437573193</v>
      </c>
      <c r="H114" s="36">
        <f t="shared" si="370"/>
        <v>1.5023950726949136</v>
      </c>
      <c r="I114" s="36">
        <f t="shared" ref="I114:J114" si="372">I110/I105</f>
        <v>1.5897134472617362</v>
      </c>
      <c r="J114" s="36">
        <f t="shared" si="372"/>
        <v>1.1850587654498825</v>
      </c>
      <c r="K114" s="36">
        <f t="shared" si="370"/>
        <v>0.40225501267990504</v>
      </c>
      <c r="L114" s="36">
        <f t="shared" ref="L114" si="373">L110/L105</f>
        <v>0.50076148593486502</v>
      </c>
      <c r="M114" s="36">
        <f t="shared" ref="M114" si="374">M110/M105</f>
        <v>0.57354416212792725</v>
      </c>
      <c r="N114" s="36">
        <f t="shared" ref="N114" si="375">N110/N105</f>
        <v>0.48125456776974501</v>
      </c>
      <c r="O114" s="36">
        <f t="shared" si="370"/>
        <v>0.87882811282180717</v>
      </c>
      <c r="P114" s="36">
        <f t="shared" si="370"/>
        <v>1.0149302363930253</v>
      </c>
      <c r="Q114" s="36">
        <f t="shared" ref="Q114:R114" si="376">Q110/Q105</f>
        <v>0.86490371231881247</v>
      </c>
      <c r="R114" s="36">
        <f t="shared" si="376"/>
        <v>1.144232065448398</v>
      </c>
      <c r="S114" s="36">
        <f t="shared" ref="S114:V114" si="377">S110/S105</f>
        <v>2.052193907829611</v>
      </c>
      <c r="T114" s="36">
        <f t="shared" si="377"/>
        <v>1.0828222335768498</v>
      </c>
      <c r="U114" s="36">
        <f t="shared" si="377"/>
        <v>1.3795561830754972</v>
      </c>
      <c r="V114" s="36">
        <f t="shared" si="377"/>
        <v>3.199141291731523</v>
      </c>
      <c r="W114" s="64" t="s">
        <v>181</v>
      </c>
      <c r="X114" s="41"/>
      <c r="Y114" s="41"/>
      <c r="Z114" s="41"/>
      <c r="AA114" s="41"/>
      <c r="AB114" s="41"/>
    </row>
    <row r="115" spans="1:28" s="4" customFormat="1" ht="15" customHeight="1" x14ac:dyDescent="0.25">
      <c r="C115" s="40"/>
      <c r="D115" s="40"/>
      <c r="E115" s="40"/>
      <c r="F115" s="40"/>
      <c r="G115" s="40"/>
      <c r="H115" s="7"/>
      <c r="I115" s="7"/>
      <c r="J115" s="7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64"/>
      <c r="X115" s="41"/>
      <c r="Y115" s="41"/>
      <c r="Z115" s="41"/>
      <c r="AA115" s="41"/>
      <c r="AB115" s="41"/>
    </row>
    <row r="116" spans="1:28" s="4" customFormat="1" ht="15" customHeight="1" x14ac:dyDescent="0.25">
      <c r="A116" s="4" t="s">
        <v>83</v>
      </c>
      <c r="B116" s="4" t="s">
        <v>71</v>
      </c>
      <c r="C116" s="36">
        <f>C109*0.35</f>
        <v>576.97546109070367</v>
      </c>
      <c r="D116" s="36">
        <f>D109*0.35</f>
        <v>0</v>
      </c>
      <c r="E116" s="36">
        <f t="shared" ref="E116:P116" si="378">E109*0.35</f>
        <v>1537.0428214326942</v>
      </c>
      <c r="F116" s="36">
        <f t="shared" ref="F116:G116" si="379">F109*0.35</f>
        <v>1264.751709622647</v>
      </c>
      <c r="G116" s="36">
        <f t="shared" si="379"/>
        <v>980.89549129584771</v>
      </c>
      <c r="H116" s="36">
        <f t="shared" si="378"/>
        <v>1729.7352693246296</v>
      </c>
      <c r="I116" s="36">
        <f t="shared" ref="I116:J116" si="380">I109*0.35</f>
        <v>1830.2665309703493</v>
      </c>
      <c r="J116" s="36">
        <f t="shared" si="380"/>
        <v>1364.3801021951431</v>
      </c>
      <c r="K116" s="12">
        <f t="shared" si="378"/>
        <v>779.37176524027973</v>
      </c>
      <c r="L116" s="12">
        <f t="shared" ref="L116" si="381">L109*0.35</f>
        <v>694.10742659207131</v>
      </c>
      <c r="M116" s="12">
        <f t="shared" ref="M116" si="382">M109*0.35</f>
        <v>0</v>
      </c>
      <c r="N116" s="12">
        <f t="shared" ref="N116" si="383">N109*0.35</f>
        <v>700.49926629865445</v>
      </c>
      <c r="O116" s="36">
        <f t="shared" si="378"/>
        <v>1172.8905756065594</v>
      </c>
      <c r="P116" s="36">
        <f t="shared" si="378"/>
        <v>0</v>
      </c>
      <c r="Q116" s="36">
        <f t="shared" ref="Q116:R116" si="384">Q109*0.35</f>
        <v>995.77966072806191</v>
      </c>
      <c r="R116" s="36">
        <f t="shared" si="384"/>
        <v>1475.3298506015665</v>
      </c>
      <c r="S116" s="36">
        <f t="shared" ref="S116:V116" si="385">S109*0.35</f>
        <v>2362.7288496751166</v>
      </c>
      <c r="T116" s="36">
        <f t="shared" si="385"/>
        <v>1246.6732897806119</v>
      </c>
      <c r="U116" s="36">
        <f t="shared" si="385"/>
        <v>1588.3085809115432</v>
      </c>
      <c r="V116" s="36">
        <f t="shared" si="385"/>
        <v>3683.2306125277564</v>
      </c>
      <c r="W116" s="64" t="s">
        <v>182</v>
      </c>
      <c r="X116" s="41"/>
      <c r="Y116" s="41"/>
      <c r="Z116" s="41"/>
      <c r="AA116" s="41"/>
      <c r="AB116" s="41"/>
    </row>
    <row r="117" spans="1:28" s="4" customFormat="1" ht="15" customHeight="1" x14ac:dyDescent="0.25">
      <c r="A117" s="4" t="s">
        <v>84</v>
      </c>
      <c r="B117" s="4" t="s">
        <v>71</v>
      </c>
      <c r="C117" s="36">
        <f>C110*0.35</f>
        <v>159.17624486231804</v>
      </c>
      <c r="D117" s="36">
        <f>D110*0.35</f>
        <v>316.88291925910539</v>
      </c>
      <c r="E117" s="36">
        <f t="shared" ref="E117:P117" si="386">E110*0.35</f>
        <v>591.9736648842769</v>
      </c>
      <c r="F117" s="36">
        <f t="shared" ref="F117:G117" si="387">F110*0.35</f>
        <v>469.61537059031019</v>
      </c>
      <c r="G117" s="36">
        <f t="shared" si="387"/>
        <v>335.09280547347851</v>
      </c>
      <c r="H117" s="36">
        <f t="shared" si="386"/>
        <v>993.83434058768523</v>
      </c>
      <c r="I117" s="36">
        <f t="shared" ref="I117:J117" si="388">I110*0.35</f>
        <v>1051.5954453636384</v>
      </c>
      <c r="J117" s="36">
        <f t="shared" si="388"/>
        <v>456.24762469820473</v>
      </c>
      <c r="K117" s="12">
        <f t="shared" si="386"/>
        <v>154.86817988176344</v>
      </c>
      <c r="L117" s="12">
        <f t="shared" ref="L117" si="389">L110*0.35</f>
        <v>192.79317208492301</v>
      </c>
      <c r="M117" s="12">
        <f t="shared" ref="M117" si="390">M110*0.35</f>
        <v>220.81450241925197</v>
      </c>
      <c r="N117" s="12">
        <f t="shared" ref="N117" si="391">N110*0.35</f>
        <v>185.2830085913518</v>
      </c>
      <c r="O117" s="36">
        <f t="shared" si="386"/>
        <v>489.99061430379857</v>
      </c>
      <c r="P117" s="36">
        <f t="shared" si="386"/>
        <v>390.74814101131471</v>
      </c>
      <c r="Q117" s="36">
        <f t="shared" ref="Q117:R117" si="392">Q110*0.35</f>
        <v>332.98792924274278</v>
      </c>
      <c r="R117" s="36">
        <f t="shared" si="392"/>
        <v>552.66408761157618</v>
      </c>
      <c r="S117" s="36">
        <f t="shared" ref="S117:V117" si="393">S110*0.35</f>
        <v>991.20965748170204</v>
      </c>
      <c r="T117" s="36">
        <f t="shared" si="393"/>
        <v>523.00313881761849</v>
      </c>
      <c r="U117" s="36">
        <f t="shared" si="393"/>
        <v>666.32563642546506</v>
      </c>
      <c r="V117" s="36">
        <f t="shared" si="393"/>
        <v>2799.2486302650823</v>
      </c>
      <c r="W117" s="64" t="s">
        <v>183</v>
      </c>
      <c r="X117" s="41"/>
      <c r="Y117" s="41"/>
      <c r="Z117" s="41"/>
      <c r="AA117" s="41"/>
      <c r="AB117" s="41"/>
    </row>
    <row r="118" spans="1:28" s="4" customFormat="1" ht="15" customHeight="1" x14ac:dyDescent="0.25">
      <c r="C118" s="40"/>
      <c r="D118" s="40"/>
      <c r="E118" s="40"/>
      <c r="F118" s="40"/>
      <c r="G118" s="40"/>
      <c r="H118" s="40"/>
      <c r="I118" s="40"/>
      <c r="J118" s="40"/>
      <c r="K118" s="46"/>
      <c r="L118" s="46"/>
      <c r="M118" s="46"/>
      <c r="N118" s="46"/>
      <c r="O118" s="40"/>
      <c r="P118" s="40"/>
      <c r="Q118" s="41"/>
      <c r="R118" s="41"/>
      <c r="S118" s="41"/>
      <c r="T118" s="41"/>
      <c r="U118" s="41"/>
      <c r="V118" s="41"/>
      <c r="W118" s="64"/>
      <c r="X118" s="41"/>
      <c r="Y118" s="41"/>
      <c r="Z118" s="41"/>
      <c r="AA118" s="41"/>
      <c r="AB118" s="41"/>
    </row>
    <row r="119" spans="1:28" s="4" customFormat="1" ht="15" customHeight="1" x14ac:dyDescent="0.25">
      <c r="A119" s="14" t="s">
        <v>91</v>
      </c>
      <c r="C119" s="34">
        <v>1.3</v>
      </c>
      <c r="D119" s="34">
        <v>1.3</v>
      </c>
      <c r="E119" s="34">
        <v>1.3</v>
      </c>
      <c r="F119" s="34">
        <v>1.3</v>
      </c>
      <c r="G119" s="34">
        <v>1.3</v>
      </c>
      <c r="H119" s="34">
        <v>1.3</v>
      </c>
      <c r="I119" s="34">
        <v>1.1000000000000001</v>
      </c>
      <c r="J119" s="34">
        <v>1.3</v>
      </c>
      <c r="K119" s="34">
        <v>1.3</v>
      </c>
      <c r="L119" s="34">
        <v>1.3</v>
      </c>
      <c r="M119" s="34">
        <v>1.3</v>
      </c>
      <c r="N119" s="34">
        <v>1.3</v>
      </c>
      <c r="O119" s="34">
        <v>1.3</v>
      </c>
      <c r="P119" s="34">
        <v>1.3</v>
      </c>
      <c r="Q119" s="34">
        <v>1.3</v>
      </c>
      <c r="R119" s="34">
        <v>1.3</v>
      </c>
      <c r="S119" s="34">
        <v>1.3</v>
      </c>
      <c r="T119" s="34">
        <v>1.3</v>
      </c>
      <c r="U119" s="34">
        <v>1.3</v>
      </c>
      <c r="V119" s="34">
        <v>1.3</v>
      </c>
      <c r="W119" s="64"/>
      <c r="X119" s="41"/>
      <c r="Y119" s="41"/>
      <c r="Z119" s="41"/>
      <c r="AA119" s="41"/>
      <c r="AB119" s="41"/>
    </row>
    <row r="120" spans="1:28" s="4" customFormat="1" ht="15" customHeight="1" x14ac:dyDescent="0.25">
      <c r="A120" s="14" t="s">
        <v>92</v>
      </c>
      <c r="B120" s="4" t="s">
        <v>93</v>
      </c>
      <c r="C120" s="36">
        <f t="shared" ref="C120" si="394">C87/C4</f>
        <v>431.0870546570921</v>
      </c>
      <c r="D120" s="36">
        <f t="shared" ref="D120:P120" si="395">D87/D4</f>
        <v>302.47990804478434</v>
      </c>
      <c r="E120" s="36">
        <f t="shared" si="395"/>
        <v>217.44560040189288</v>
      </c>
      <c r="F120" s="36">
        <f t="shared" ref="F120:G120" si="396">F87/F4</f>
        <v>248.94860423513128</v>
      </c>
      <c r="G120" s="36">
        <f t="shared" si="396"/>
        <v>269.52905738198444</v>
      </c>
      <c r="H120" s="36">
        <f t="shared" si="395"/>
        <v>217.5139717481033</v>
      </c>
      <c r="I120" s="36">
        <f t="shared" ref="I120:J120" si="397">I87/I4</f>
        <v>222.98922910782824</v>
      </c>
      <c r="J120" s="36">
        <f t="shared" si="397"/>
        <v>265.21445543680522</v>
      </c>
      <c r="K120" s="36">
        <f t="shared" si="395"/>
        <v>321.66067033590775</v>
      </c>
      <c r="L120" s="36">
        <f t="shared" ref="L120" si="398">L87/L4</f>
        <v>289.76892517009219</v>
      </c>
      <c r="M120" s="36">
        <f t="shared" ref="M120" si="399">M87/M4</f>
        <v>350.98351784717011</v>
      </c>
      <c r="N120" s="36">
        <f t="shared" ref="N120" si="400">N87/N4</f>
        <v>328.97164044671496</v>
      </c>
      <c r="O120" s="36">
        <f t="shared" si="395"/>
        <v>253.20112830216652</v>
      </c>
      <c r="P120" s="36">
        <f t="shared" si="395"/>
        <v>296.90857317422245</v>
      </c>
      <c r="Q120" s="36">
        <f t="shared" ref="Q120:R120" si="401">Q87/Q4</f>
        <v>276.31298182340339</v>
      </c>
      <c r="R120" s="36">
        <f t="shared" si="401"/>
        <v>223.63762949498189</v>
      </c>
      <c r="S120" s="36">
        <f t="shared" ref="S120:V120" si="402">S87/S4</f>
        <v>195.88433801173596</v>
      </c>
      <c r="T120" s="36">
        <f t="shared" si="402"/>
        <v>270.33776368438663</v>
      </c>
      <c r="U120" s="36">
        <f t="shared" si="402"/>
        <v>409.62835701379743</v>
      </c>
      <c r="V120" s="36">
        <f t="shared" si="402"/>
        <v>182.9330993604554</v>
      </c>
      <c r="W120" s="64"/>
      <c r="X120" s="41"/>
      <c r="Y120" s="41"/>
      <c r="Z120" s="41"/>
      <c r="AA120" s="41"/>
      <c r="AB120" s="41"/>
    </row>
    <row r="121" spans="1:28" s="4" customFormat="1" ht="15" customHeight="1" x14ac:dyDescent="0.25">
      <c r="A121" s="14" t="s">
        <v>94</v>
      </c>
      <c r="C121" s="36">
        <f t="shared" ref="C121" si="403">C24/C82</f>
        <v>0.13189183603631266</v>
      </c>
      <c r="D121" s="36">
        <f t="shared" ref="D121:P121" si="404">D24/D82</f>
        <v>0.20153882752067129</v>
      </c>
      <c r="E121" s="36">
        <f t="shared" si="404"/>
        <v>0.23106296476300087</v>
      </c>
      <c r="F121" s="36">
        <f t="shared" ref="F121:G121" si="405">F24/F82</f>
        <v>0.20667020160984528</v>
      </c>
      <c r="G121" s="36">
        <f t="shared" si="405"/>
        <v>0.14930185977230323</v>
      </c>
      <c r="H121" s="36">
        <f t="shared" si="404"/>
        <v>0.3131087768063765</v>
      </c>
      <c r="I121" s="36">
        <f t="shared" ref="I121:J121" si="406">I24/I82</f>
        <v>0.33035917684241867</v>
      </c>
      <c r="J121" s="36">
        <f t="shared" si="406"/>
        <v>0.24650533447026174</v>
      </c>
      <c r="K121" s="36">
        <f t="shared" si="404"/>
        <v>0.12137717996228681</v>
      </c>
      <c r="L121" s="36">
        <f t="shared" ref="L121" si="407">L24/L82</f>
        <v>0.15146910577806968</v>
      </c>
      <c r="M121" s="36">
        <f t="shared" ref="M121" si="408">M24/M82</f>
        <v>0.13768381614106787</v>
      </c>
      <c r="N121" s="36">
        <f t="shared" ref="N121" si="409">N24/N82</f>
        <v>0.15789708104518632</v>
      </c>
      <c r="O121" s="36">
        <f t="shared" si="404"/>
        <v>0.18665251816051234</v>
      </c>
      <c r="P121" s="36">
        <f t="shared" si="404"/>
        <v>0.24486817453024218</v>
      </c>
      <c r="Q121" s="36">
        <f t="shared" ref="Q121:R121" si="410">Q24/Q82</f>
        <v>0.2608524332383475</v>
      </c>
      <c r="R121" s="36">
        <f t="shared" si="410"/>
        <v>0.25777131808128639</v>
      </c>
      <c r="S121" s="36">
        <f t="shared" ref="S121:V121" si="411">S24/S82</f>
        <v>0.37404707517794822</v>
      </c>
      <c r="T121" s="36">
        <f t="shared" si="411"/>
        <v>0.3123319259916203</v>
      </c>
      <c r="U121" s="36">
        <f t="shared" si="411"/>
        <v>0.38903447651321543</v>
      </c>
      <c r="V121" s="36">
        <f t="shared" si="411"/>
        <v>0.33510634631670927</v>
      </c>
      <c r="W121" s="64"/>
      <c r="X121" s="41"/>
      <c r="Y121" s="41"/>
      <c r="Z121" s="41"/>
      <c r="AA121" s="41"/>
      <c r="AB121" s="41"/>
    </row>
    <row r="122" spans="1:28" s="4" customFormat="1" ht="15" customHeight="1" x14ac:dyDescent="0.25">
      <c r="A122" s="14" t="s">
        <v>97</v>
      </c>
      <c r="C122" s="36">
        <f t="shared" ref="C122" si="412">C39/C82</f>
        <v>4.2943849975803972E-2</v>
      </c>
      <c r="D122" s="36">
        <f t="shared" ref="D122:P122" si="413">D39/D82</f>
        <v>3.0676462928246526E-2</v>
      </c>
      <c r="E122" s="36">
        <f t="shared" si="413"/>
        <v>4.126423253827629E-2</v>
      </c>
      <c r="F122" s="36">
        <f t="shared" ref="F122:G122" si="414">F39/F82</f>
        <v>4.7375914369463985E-2</v>
      </c>
      <c r="G122" s="36">
        <f t="shared" si="414"/>
        <v>4.6741733155083495E-2</v>
      </c>
      <c r="H122" s="36">
        <f t="shared" si="413"/>
        <v>2.8329088420834682E-2</v>
      </c>
      <c r="I122" s="36">
        <f t="shared" ref="I122:J122" si="415">I39/I82</f>
        <v>7.3180565056666647E-2</v>
      </c>
      <c r="J122" s="36">
        <f t="shared" si="415"/>
        <v>4.7801554559684649E-2</v>
      </c>
      <c r="K122" s="36">
        <f t="shared" si="413"/>
        <v>5.0535365801788613E-2</v>
      </c>
      <c r="L122" s="36">
        <f t="shared" ref="L122" si="416">L39/L82</f>
        <v>4.535003167008074E-2</v>
      </c>
      <c r="M122" s="36">
        <f t="shared" ref="M122" si="417">M39/M82</f>
        <v>4.1629307482553356E-2</v>
      </c>
      <c r="N122" s="36">
        <f t="shared" ref="N122" si="418">N39/N82</f>
        <v>7.0527148172334908E-2</v>
      </c>
      <c r="O122" s="36">
        <f t="shared" si="413"/>
        <v>4.4478558750255005E-2</v>
      </c>
      <c r="P122" s="36">
        <f t="shared" si="413"/>
        <v>2.8870661795302774E-2</v>
      </c>
      <c r="Q122" s="36">
        <f t="shared" ref="Q122:R122" si="419">Q39/Q82</f>
        <v>4.8777553194548871E-2</v>
      </c>
      <c r="R122" s="36">
        <f t="shared" si="419"/>
        <v>3.827007576840083E-2</v>
      </c>
      <c r="S122" s="36">
        <f t="shared" ref="S122:V122" si="420">S39/S82</f>
        <v>6.3569866234394978E-2</v>
      </c>
      <c r="T122" s="36">
        <f t="shared" si="420"/>
        <v>0.1399806951222948</v>
      </c>
      <c r="U122" s="36">
        <f t="shared" si="420"/>
        <v>0.12395977630008571</v>
      </c>
      <c r="V122" s="36">
        <f t="shared" si="420"/>
        <v>0.17094211828418474</v>
      </c>
      <c r="W122" s="64"/>
      <c r="X122" s="41"/>
      <c r="Y122" s="41"/>
      <c r="Z122" s="41"/>
      <c r="AA122" s="41"/>
      <c r="AB122" s="41"/>
    </row>
    <row r="123" spans="1:28" s="4" customFormat="1" ht="15" customHeight="1" x14ac:dyDescent="0.25">
      <c r="A123" s="14" t="s">
        <v>89</v>
      </c>
      <c r="B123" s="4" t="s">
        <v>68</v>
      </c>
      <c r="C123" s="36">
        <f>3.6*SQRT(C119*(C120*24.5*(1-C121-C122)))</f>
        <v>383.18626049750731</v>
      </c>
      <c r="D123" s="36">
        <f>3.6*SQRT(D119*(D120*24.5*(1-D121-D122)))</f>
        <v>309.61729688328762</v>
      </c>
      <c r="E123" s="36">
        <f t="shared" ref="E123:P123" si="421">3.6*SQRT(E119*(E120*24.5*(1-E121-E122)))</f>
        <v>255.56454504278142</v>
      </c>
      <c r="F123" s="36">
        <f t="shared" ref="F123:G123" si="422">3.6*SQRT(F119*(F120*24.5*(1-F121-F122)))</f>
        <v>276.86499937988128</v>
      </c>
      <c r="G123" s="36">
        <f t="shared" si="422"/>
        <v>299.07235164763568</v>
      </c>
      <c r="H123" s="36">
        <f t="shared" si="421"/>
        <v>243.16394279405748</v>
      </c>
      <c r="I123" s="36">
        <f t="shared" ref="I123:J123" si="423">3.6*SQRT(I119*(I120*24.5*(1-I121-I122)))</f>
        <v>215.53340236355811</v>
      </c>
      <c r="J123" s="36">
        <f t="shared" si="423"/>
        <v>277.94812824178945</v>
      </c>
      <c r="K123" s="36">
        <f t="shared" si="421"/>
        <v>331.58456244909007</v>
      </c>
      <c r="L123" s="36">
        <f t="shared" ref="L123" si="424">3.6*SQRT(L119*(L120*24.5*(1-L121-L122)))</f>
        <v>309.94868634391997</v>
      </c>
      <c r="M123" s="36">
        <f t="shared" ref="M123" si="425">3.6*SQRT(M119*(M120*24.5*(1-M121-M122)))</f>
        <v>344.81752055779447</v>
      </c>
      <c r="N123" s="36">
        <f t="shared" ref="N123" si="426">3.6*SQRT(N119*(N120*24.5*(1-N121-N122)))</f>
        <v>323.68735962704017</v>
      </c>
      <c r="O123" s="36">
        <f t="shared" si="421"/>
        <v>283.4759315757866</v>
      </c>
      <c r="P123" s="36">
        <f t="shared" si="421"/>
        <v>298.34241346208302</v>
      </c>
      <c r="Q123" s="36">
        <f t="shared" ref="Q123:R123" si="427">3.6*SQRT(Q119*(Q120*24.5*(1-Q121-Q122)))</f>
        <v>280.60720861923363</v>
      </c>
      <c r="R123" s="36">
        <f t="shared" si="427"/>
        <v>254.91959542581779</v>
      </c>
      <c r="S123" s="36">
        <f t="shared" ref="S123:V123" si="428">3.6*SQRT(S119*(S120*24.5*(1-S121-S122)))</f>
        <v>213.2422176577281</v>
      </c>
      <c r="T123" s="36">
        <f t="shared" si="428"/>
        <v>247.21620996201236</v>
      </c>
      <c r="U123" s="36">
        <f t="shared" si="428"/>
        <v>286.95861600235207</v>
      </c>
      <c r="V123" s="36">
        <f t="shared" si="428"/>
        <v>193.12812993351039</v>
      </c>
      <c r="W123" s="64"/>
      <c r="X123" s="41"/>
      <c r="Y123" s="41"/>
      <c r="Z123" s="41"/>
      <c r="AA123" s="41"/>
      <c r="AB123" s="41"/>
    </row>
    <row r="124" spans="1:28" s="4" customFormat="1" ht="15" customHeight="1" x14ac:dyDescent="0.25">
      <c r="C124" s="40"/>
      <c r="D124" s="40"/>
      <c r="E124" s="40"/>
      <c r="F124" s="40"/>
      <c r="G124" s="40"/>
      <c r="H124" s="7"/>
      <c r="I124" s="7"/>
      <c r="J124" s="7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64"/>
      <c r="X124" s="41"/>
      <c r="Y124" s="41"/>
      <c r="Z124" s="41"/>
      <c r="AA124" s="41"/>
      <c r="AB124" s="41"/>
    </row>
    <row r="125" spans="1:28" s="4" customFormat="1" ht="15" customHeight="1" x14ac:dyDescent="0.25">
      <c r="A125" s="4" t="s">
        <v>98</v>
      </c>
      <c r="C125" s="36">
        <f>0.91*C10</f>
        <v>7.9318813314037628</v>
      </c>
      <c r="D125" s="36">
        <f>0.91*D10</f>
        <v>10.49266247379455</v>
      </c>
      <c r="E125" s="36">
        <f t="shared" ref="E125:P125" si="429">0.91*E10</f>
        <v>12.375999999999999</v>
      </c>
      <c r="F125" s="36">
        <f t="shared" ref="F125:G125" si="430">0.91*F10</f>
        <v>10.970355731225297</v>
      </c>
      <c r="G125" s="36">
        <f t="shared" si="430"/>
        <v>10.970355731225297</v>
      </c>
      <c r="H125" s="36">
        <f t="shared" si="429"/>
        <v>11.067567567567568</v>
      </c>
      <c r="I125" s="36">
        <f t="shared" ref="I125:J125" si="431">0.91*I10</f>
        <v>10.448941176470589</v>
      </c>
      <c r="J125" s="36">
        <f t="shared" si="431"/>
        <v>11.087356321839081</v>
      </c>
      <c r="K125" s="36">
        <f t="shared" si="429"/>
        <v>8.4566598360655743</v>
      </c>
      <c r="L125" s="36">
        <f t="shared" ref="L125" si="432">0.91*L10</f>
        <v>8.3179687500000004</v>
      </c>
      <c r="M125" s="36">
        <f t="shared" ref="M125" si="433">0.91*M10</f>
        <v>10.705882352941178</v>
      </c>
      <c r="N125" s="36">
        <f t="shared" ref="N125" si="434">0.91*N10</f>
        <v>9.3716417910447767</v>
      </c>
      <c r="O125" s="36">
        <f t="shared" si="429"/>
        <v>10.885567567567568</v>
      </c>
      <c r="P125" s="36">
        <f t="shared" si="429"/>
        <v>9.6096000000000004</v>
      </c>
      <c r="Q125" s="36">
        <f t="shared" ref="Q125:R125" si="435">0.91*Q10</f>
        <v>9.4455696202531652</v>
      </c>
      <c r="R125" s="36">
        <f t="shared" si="435"/>
        <v>11.14494382022472</v>
      </c>
      <c r="S125" s="36">
        <f t="shared" ref="S125:V125" si="436">0.91*S10</f>
        <v>12.763114301490889</v>
      </c>
      <c r="T125" s="36">
        <f t="shared" si="436"/>
        <v>8.9884516129032264</v>
      </c>
      <c r="U125" s="36">
        <f t="shared" si="436"/>
        <v>9.0058620689655164</v>
      </c>
      <c r="V125" s="36">
        <f t="shared" si="436"/>
        <v>18.153092783505155</v>
      </c>
      <c r="W125" s="64"/>
      <c r="X125" s="41"/>
      <c r="Y125" s="41"/>
      <c r="Z125" s="41"/>
      <c r="AA125" s="41"/>
      <c r="AB125" s="41"/>
    </row>
    <row r="126" spans="1:28" s="4" customFormat="1" ht="15" customHeight="1" x14ac:dyDescent="0.25">
      <c r="A126" s="4" t="s">
        <v>99</v>
      </c>
      <c r="B126" s="4" t="s">
        <v>93</v>
      </c>
      <c r="C126" s="36">
        <f>1.225*0.429*POWER(1062,2)/259.2</f>
        <v>2286.6906562500003</v>
      </c>
      <c r="D126" s="36">
        <f>1.225*0.429*POWER(1062,2)/259.2</f>
        <v>2286.6906562500003</v>
      </c>
      <c r="E126" s="36">
        <f t="shared" ref="E126:V126" si="437">1.225*0.429*POWER(1062,2)/259.2</f>
        <v>2286.6906562500003</v>
      </c>
      <c r="F126" s="36">
        <f t="shared" si="437"/>
        <v>2286.6906562500003</v>
      </c>
      <c r="G126" s="36">
        <f t="shared" si="437"/>
        <v>2286.6906562500003</v>
      </c>
      <c r="H126" s="36">
        <f t="shared" si="437"/>
        <v>2286.6906562500003</v>
      </c>
      <c r="I126" s="36">
        <f t="shared" si="437"/>
        <v>2286.6906562500003</v>
      </c>
      <c r="J126" s="36">
        <f t="shared" si="437"/>
        <v>2286.6906562500003</v>
      </c>
      <c r="K126" s="36">
        <f t="shared" si="437"/>
        <v>2286.6906562500003</v>
      </c>
      <c r="L126" s="36">
        <f t="shared" si="437"/>
        <v>2286.6906562500003</v>
      </c>
      <c r="M126" s="36">
        <f t="shared" si="437"/>
        <v>2286.6906562500003</v>
      </c>
      <c r="N126" s="36">
        <f t="shared" si="437"/>
        <v>2286.6906562500003</v>
      </c>
      <c r="O126" s="36">
        <f t="shared" si="437"/>
        <v>2286.6906562500003</v>
      </c>
      <c r="P126" s="36">
        <f t="shared" si="437"/>
        <v>2286.6906562500003</v>
      </c>
      <c r="Q126" s="36">
        <f t="shared" si="437"/>
        <v>2286.6906562500003</v>
      </c>
      <c r="R126" s="36">
        <f t="shared" si="437"/>
        <v>2286.6906562500003</v>
      </c>
      <c r="S126" s="36">
        <f t="shared" si="437"/>
        <v>2286.6906562500003</v>
      </c>
      <c r="T126" s="36">
        <f t="shared" si="437"/>
        <v>2286.6906562500003</v>
      </c>
      <c r="U126" s="36">
        <f t="shared" si="437"/>
        <v>2286.6906562500003</v>
      </c>
      <c r="V126" s="36">
        <f t="shared" si="437"/>
        <v>2286.6906562500003</v>
      </c>
      <c r="W126" s="64"/>
      <c r="X126" s="41"/>
      <c r="Y126" s="41"/>
      <c r="Z126" s="41"/>
      <c r="AA126" s="41"/>
      <c r="AB126" s="41"/>
    </row>
    <row r="127" spans="1:28" s="4" customFormat="1" ht="15" customHeight="1" x14ac:dyDescent="0.25">
      <c r="A127" s="4" t="s">
        <v>100</v>
      </c>
      <c r="B127" s="4" t="s">
        <v>68</v>
      </c>
      <c r="C127" s="36">
        <f>C96/SQRT(1/((1-0.6*C121))*C125*C126)</f>
        <v>4.5517356594098697</v>
      </c>
      <c r="D127" s="36">
        <f>D96/SQRT(1/((1-0.6*D121))*D125*D126)</f>
        <v>3.3180062742417689</v>
      </c>
      <c r="E127" s="36"/>
      <c r="F127" s="36"/>
      <c r="G127" s="36"/>
      <c r="H127" s="44"/>
      <c r="I127" s="44"/>
      <c r="J127" s="44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64"/>
      <c r="X127" s="41"/>
      <c r="Y127" s="41"/>
      <c r="Z127" s="41"/>
      <c r="AA127" s="41"/>
      <c r="AB127" s="41"/>
    </row>
    <row r="128" spans="1:28" s="4" customFormat="1" ht="15" customHeight="1" x14ac:dyDescent="0.25">
      <c r="A128" s="9"/>
      <c r="D128" s="40"/>
      <c r="E128" s="40"/>
      <c r="F128" s="40"/>
      <c r="G128" s="40"/>
      <c r="H128" s="7"/>
      <c r="I128" s="7"/>
      <c r="J128" s="7"/>
      <c r="K128" s="23"/>
      <c r="L128" s="23"/>
      <c r="M128" s="23"/>
      <c r="N128" s="23"/>
      <c r="O128" s="23"/>
      <c r="P128" s="23"/>
      <c r="Q128" s="41"/>
      <c r="R128" s="41"/>
      <c r="S128" s="41"/>
      <c r="T128" s="41"/>
      <c r="U128" s="41"/>
      <c r="V128" s="41"/>
      <c r="W128" s="64"/>
      <c r="X128" s="41"/>
      <c r="Y128" s="41"/>
      <c r="Z128" s="41"/>
      <c r="AA128" s="41"/>
      <c r="AB128" s="41"/>
    </row>
    <row r="129" spans="1:28" s="4" customFormat="1" ht="15" customHeight="1" x14ac:dyDescent="0.25">
      <c r="D129" s="40"/>
      <c r="E129" s="40"/>
      <c r="F129" s="40"/>
      <c r="G129" s="40"/>
      <c r="H129" s="7"/>
      <c r="I129" s="7"/>
      <c r="J129" s="7"/>
      <c r="K129" s="23"/>
      <c r="L129" s="23"/>
      <c r="M129" s="23"/>
      <c r="N129" s="23"/>
      <c r="O129" s="23"/>
      <c r="P129" s="23"/>
      <c r="Q129" s="41"/>
      <c r="R129" s="41"/>
      <c r="S129" s="41"/>
      <c r="T129" s="41"/>
      <c r="U129" s="41"/>
      <c r="V129" s="41"/>
      <c r="W129" s="64"/>
      <c r="X129" s="41"/>
      <c r="Y129" s="41"/>
      <c r="Z129" s="41"/>
      <c r="AA129" s="41"/>
      <c r="AB129" s="41"/>
    </row>
    <row r="130" spans="1:28" s="4" customFormat="1" ht="15" customHeight="1" x14ac:dyDescent="0.25">
      <c r="A130" s="4" t="s">
        <v>192</v>
      </c>
      <c r="C130" s="7">
        <f t="shared" ref="C130" si="438">C39/C83</f>
        <v>3.7886498934255913E-2</v>
      </c>
      <c r="D130" s="7">
        <f t="shared" ref="D130:G130" si="439">D39/D83</f>
        <v>2.4464948001096054E-2</v>
      </c>
      <c r="E130" s="7">
        <f t="shared" si="439"/>
        <v>3.1403226943715792E-2</v>
      </c>
      <c r="F130" s="7">
        <f t="shared" si="439"/>
        <v>3.6895668061793646E-2</v>
      </c>
      <c r="G130" s="7">
        <f t="shared" si="439"/>
        <v>4.0669675035889911E-2</v>
      </c>
      <c r="H130" s="7">
        <f>H39/H83</f>
        <v>2.157406067282111E-2</v>
      </c>
      <c r="I130" s="7">
        <f t="shared" ref="I130:S130" si="440">I39/I83</f>
        <v>5.5008125873464694E-2</v>
      </c>
      <c r="J130" s="7">
        <f t="shared" si="440"/>
        <v>3.8348455668662899E-2</v>
      </c>
      <c r="K130" s="7">
        <f t="shared" si="440"/>
        <v>4.719218574912163E-2</v>
      </c>
      <c r="L130" s="7">
        <f t="shared" si="440"/>
        <v>4.0999231214462611E-2</v>
      </c>
      <c r="M130" s="7">
        <f t="shared" si="440"/>
        <v>3.7981055826780359E-2</v>
      </c>
      <c r="N130" s="7">
        <f t="shared" si="440"/>
        <v>6.4860307463165623E-2</v>
      </c>
      <c r="O130" s="7">
        <f t="shared" si="440"/>
        <v>3.3255864400445784E-2</v>
      </c>
      <c r="P130" s="7">
        <f t="shared" si="440"/>
        <v>2.1089959882213138E-2</v>
      </c>
      <c r="Q130" s="7">
        <f t="shared" si="440"/>
        <v>4.0243019633231146E-2</v>
      </c>
      <c r="R130" s="7">
        <f t="shared" si="440"/>
        <v>3.1381743979053647E-2</v>
      </c>
      <c r="S130" s="7">
        <f t="shared" si="440"/>
        <v>4.421891840808629E-2</v>
      </c>
      <c r="T130" s="7">
        <f t="shared" ref="T130:V130" si="441">T39/T83</f>
        <v>0.11940167028143596</v>
      </c>
      <c r="U130" s="7">
        <f t="shared" si="441"/>
        <v>9.7986131790638101E-2</v>
      </c>
      <c r="V130" s="7">
        <f t="shared" si="441"/>
        <v>0.14683677282635843</v>
      </c>
      <c r="W130" s="64"/>
      <c r="X130" s="41"/>
      <c r="Y130" s="41"/>
      <c r="Z130" s="41"/>
      <c r="AA130" s="41"/>
      <c r="AB130" s="41"/>
    </row>
    <row r="131" spans="1:28" s="4" customFormat="1" ht="15" customHeight="1" x14ac:dyDescent="0.25">
      <c r="C131" s="40"/>
      <c r="D131" s="40"/>
      <c r="E131" s="40"/>
      <c r="F131" s="40"/>
      <c r="G131" s="40"/>
      <c r="H131" s="7"/>
      <c r="I131" s="7"/>
      <c r="J131" s="7"/>
      <c r="K131" s="23"/>
      <c r="L131" s="23"/>
      <c r="M131" s="23"/>
      <c r="N131" s="23"/>
      <c r="O131" s="23"/>
      <c r="P131" s="23"/>
      <c r="Q131" s="41"/>
      <c r="R131" s="41"/>
      <c r="S131" s="41"/>
      <c r="T131" s="41"/>
      <c r="U131" s="41"/>
      <c r="V131" s="41"/>
      <c r="W131" s="64"/>
      <c r="X131" s="41"/>
      <c r="Y131" s="41"/>
      <c r="Z131" s="41"/>
      <c r="AA131" s="41"/>
      <c r="AB131" s="41"/>
    </row>
    <row r="132" spans="1:28" s="4" customFormat="1" ht="15" customHeight="1" x14ac:dyDescent="0.25">
      <c r="A132" s="4" t="s">
        <v>199</v>
      </c>
      <c r="B132" s="4" t="s">
        <v>8</v>
      </c>
      <c r="C132" s="36">
        <f>0.917*C31</f>
        <v>14213.5</v>
      </c>
      <c r="D132" s="40"/>
      <c r="E132" s="40"/>
      <c r="F132" s="40"/>
      <c r="G132" s="36">
        <f>0.917*G31</f>
        <v>16047.5</v>
      </c>
      <c r="H132" s="7"/>
      <c r="I132" s="7"/>
      <c r="J132" s="7"/>
      <c r="K132" s="23"/>
      <c r="L132" s="23"/>
      <c r="M132" s="23"/>
      <c r="N132" s="23"/>
      <c r="O132" s="23"/>
      <c r="P132" s="23"/>
      <c r="Q132" s="41"/>
      <c r="R132" s="41"/>
      <c r="S132" s="41"/>
      <c r="T132" s="41"/>
      <c r="U132" s="41"/>
      <c r="V132" s="41"/>
      <c r="W132" s="64"/>
      <c r="X132" s="41"/>
      <c r="Y132" s="41"/>
      <c r="Z132" s="41"/>
      <c r="AA132" s="41"/>
      <c r="AB132" s="41"/>
    </row>
    <row r="133" spans="1:28" s="4" customFormat="1" ht="15" customHeight="1" x14ac:dyDescent="0.25">
      <c r="A133" s="4" t="s">
        <v>200</v>
      </c>
      <c r="B133" s="4" t="s">
        <v>4</v>
      </c>
      <c r="C133" s="36">
        <f>C132/1.25</f>
        <v>11370.8</v>
      </c>
      <c r="D133" s="40"/>
      <c r="E133" s="40"/>
      <c r="F133" s="40"/>
      <c r="G133" s="36">
        <f>G132/1.25</f>
        <v>12838</v>
      </c>
      <c r="H133" s="7"/>
      <c r="I133" s="7"/>
      <c r="J133" s="7"/>
      <c r="K133" s="23"/>
      <c r="L133" s="23"/>
      <c r="M133" s="23"/>
      <c r="N133" s="23"/>
      <c r="O133" s="23"/>
      <c r="P133" s="23"/>
      <c r="Q133" s="41"/>
      <c r="R133" s="41"/>
      <c r="S133" s="41"/>
      <c r="T133" s="41"/>
      <c r="U133" s="41"/>
      <c r="V133" s="41"/>
      <c r="W133" s="64"/>
      <c r="X133" s="41"/>
      <c r="Y133" s="41"/>
      <c r="Z133" s="41"/>
      <c r="AA133" s="41"/>
      <c r="AB133" s="41"/>
    </row>
    <row r="134" spans="1:28" s="4" customFormat="1" ht="15" customHeight="1" x14ac:dyDescent="0.25">
      <c r="A134" s="9"/>
      <c r="C134" s="40"/>
      <c r="D134" s="40"/>
      <c r="E134" s="40"/>
      <c r="F134" s="40"/>
      <c r="G134" s="40"/>
      <c r="H134" s="7"/>
      <c r="I134" s="7"/>
      <c r="J134" s="7"/>
      <c r="K134" s="23"/>
      <c r="L134" s="23"/>
      <c r="M134" s="23"/>
      <c r="N134" s="23"/>
      <c r="O134" s="23"/>
      <c r="P134" s="23"/>
      <c r="Q134" s="41"/>
      <c r="R134" s="41"/>
      <c r="S134" s="41"/>
      <c r="T134" s="41"/>
      <c r="U134" s="41"/>
      <c r="V134" s="41"/>
      <c r="W134" s="64"/>
      <c r="X134" s="41"/>
      <c r="Y134" s="41"/>
      <c r="Z134" s="41"/>
      <c r="AA134" s="41"/>
      <c r="AB134" s="41"/>
    </row>
    <row r="135" spans="1:28" s="4" customFormat="1" ht="15" customHeight="1" x14ac:dyDescent="0.25">
      <c r="A135" s="4" t="s">
        <v>201</v>
      </c>
      <c r="B135" s="4" t="s">
        <v>71</v>
      </c>
      <c r="C135" s="36">
        <f>C108*0.875</f>
        <v>1033.7008715533821</v>
      </c>
      <c r="D135" s="40"/>
      <c r="E135" s="40"/>
      <c r="F135" s="40"/>
      <c r="G135" s="36">
        <f>G108*0.875</f>
        <v>1734.5839745106414</v>
      </c>
      <c r="H135" s="7"/>
      <c r="I135" s="7"/>
      <c r="J135" s="7"/>
      <c r="K135" s="23"/>
      <c r="L135" s="23"/>
      <c r="M135" s="23"/>
      <c r="N135" s="23"/>
      <c r="O135" s="23"/>
      <c r="P135" s="23"/>
      <c r="Q135" s="41"/>
      <c r="R135" s="41"/>
      <c r="S135" s="41"/>
      <c r="T135" s="41"/>
      <c r="U135" s="41"/>
      <c r="V135" s="41"/>
      <c r="W135" s="64"/>
      <c r="X135" s="41"/>
      <c r="Y135" s="41"/>
      <c r="Z135" s="41"/>
      <c r="AA135" s="41"/>
      <c r="AB135" s="41"/>
    </row>
    <row r="136" spans="1:28" s="4" customFormat="1" ht="15" customHeight="1" x14ac:dyDescent="0.25">
      <c r="A136" s="4" t="s">
        <v>203</v>
      </c>
      <c r="B136" s="4" t="s">
        <v>71</v>
      </c>
      <c r="C136" s="36">
        <f>0.35*C135</f>
        <v>361.7953050436837</v>
      </c>
      <c r="D136" s="40"/>
      <c r="E136" s="40"/>
      <c r="F136" s="40"/>
      <c r="G136" s="36">
        <f>0.35*G135</f>
        <v>607.10439107872446</v>
      </c>
      <c r="H136" s="7"/>
      <c r="I136" s="7"/>
      <c r="J136" s="7"/>
      <c r="K136" s="23"/>
      <c r="L136" s="23"/>
      <c r="M136" s="23"/>
      <c r="N136" s="23"/>
      <c r="O136" s="23"/>
      <c r="P136" s="23"/>
      <c r="Q136" s="41"/>
      <c r="R136" s="41"/>
      <c r="S136" s="41"/>
      <c r="T136" s="41"/>
      <c r="U136" s="41"/>
      <c r="V136" s="41"/>
      <c r="W136" s="64"/>
      <c r="X136" s="41"/>
      <c r="Y136" s="41"/>
      <c r="Z136" s="41"/>
      <c r="AA136" s="41"/>
      <c r="AB136" s="41"/>
    </row>
    <row r="137" spans="1:28" s="4" customFormat="1" ht="15" customHeight="1" x14ac:dyDescent="0.25">
      <c r="A137" s="4" t="s">
        <v>202</v>
      </c>
      <c r="B137" s="4" t="s">
        <v>71</v>
      </c>
      <c r="C137" s="36">
        <f>C108*0.75</f>
        <v>886.02931847432751</v>
      </c>
      <c r="D137" s="40"/>
      <c r="E137" s="40"/>
      <c r="F137" s="40"/>
      <c r="G137" s="36">
        <f>G108*0.75</f>
        <v>1486.7862638662641</v>
      </c>
      <c r="H137" s="7"/>
      <c r="I137" s="7"/>
      <c r="J137" s="7"/>
      <c r="K137" s="23"/>
      <c r="L137" s="23"/>
      <c r="M137" s="23"/>
      <c r="N137" s="23"/>
      <c r="O137" s="23"/>
      <c r="P137" s="23"/>
      <c r="Q137" s="41"/>
      <c r="R137" s="41"/>
      <c r="S137" s="41"/>
      <c r="T137" s="41"/>
      <c r="U137" s="41"/>
      <c r="V137" s="41"/>
      <c r="W137" s="64"/>
      <c r="X137" s="41"/>
      <c r="Y137" s="41"/>
      <c r="Z137" s="41"/>
      <c r="AA137" s="41"/>
      <c r="AB137" s="41"/>
    </row>
    <row r="138" spans="1:28" s="4" customFormat="1" ht="15" customHeight="1" x14ac:dyDescent="0.25">
      <c r="A138" s="4" t="s">
        <v>204</v>
      </c>
      <c r="B138" s="4" t="s">
        <v>71</v>
      </c>
      <c r="C138" s="36">
        <f>0.35*C137</f>
        <v>310.11026146601461</v>
      </c>
      <c r="D138" s="40"/>
      <c r="E138" s="40"/>
      <c r="F138" s="40"/>
      <c r="G138" s="36">
        <f>0.35*G137</f>
        <v>520.37519235319246</v>
      </c>
      <c r="H138" s="7"/>
      <c r="I138" s="7"/>
      <c r="J138" s="7"/>
      <c r="K138" s="23"/>
      <c r="L138" s="23"/>
      <c r="M138" s="23"/>
      <c r="N138" s="23"/>
      <c r="O138" s="23"/>
      <c r="P138" s="23"/>
      <c r="Q138" s="41"/>
      <c r="R138" s="41"/>
      <c r="S138" s="41"/>
      <c r="T138" s="41"/>
      <c r="U138" s="41"/>
      <c r="V138" s="41"/>
      <c r="W138" s="64"/>
      <c r="X138" s="41"/>
      <c r="Y138" s="41"/>
      <c r="Z138" s="41"/>
      <c r="AA138" s="41"/>
      <c r="AB138" s="41"/>
    </row>
    <row r="139" spans="1:28" s="4" customFormat="1" ht="15" customHeight="1" x14ac:dyDescent="0.25">
      <c r="C139" s="40"/>
      <c r="D139" s="40"/>
      <c r="E139" s="40"/>
      <c r="F139" s="40"/>
      <c r="G139" s="40"/>
      <c r="H139" s="7"/>
      <c r="I139" s="7"/>
      <c r="J139" s="7"/>
      <c r="K139" s="23"/>
      <c r="L139" s="23"/>
      <c r="M139" s="23"/>
      <c r="N139" s="23"/>
      <c r="O139" s="23"/>
      <c r="P139" s="23"/>
      <c r="Q139" s="41"/>
      <c r="R139" s="41"/>
      <c r="S139" s="41"/>
      <c r="T139" s="41"/>
      <c r="U139" s="41"/>
      <c r="V139" s="41"/>
      <c r="W139" s="64"/>
      <c r="X139" s="41"/>
      <c r="Y139" s="41"/>
      <c r="Z139" s="41"/>
      <c r="AA139" s="41"/>
      <c r="AB139" s="41"/>
    </row>
    <row r="140" spans="1:28" s="4" customFormat="1" ht="15" customHeight="1" x14ac:dyDescent="0.25">
      <c r="C140" s="40"/>
      <c r="D140" s="40"/>
      <c r="E140" s="40"/>
      <c r="F140" s="40"/>
      <c r="G140" s="40"/>
      <c r="H140" s="7"/>
      <c r="I140" s="7"/>
      <c r="J140" s="7"/>
      <c r="K140" s="23"/>
      <c r="L140" s="23"/>
      <c r="M140" s="23"/>
      <c r="N140" s="23"/>
      <c r="O140" s="23"/>
      <c r="P140" s="23"/>
      <c r="Q140" s="41"/>
      <c r="R140" s="41"/>
      <c r="S140" s="41"/>
      <c r="T140" s="41"/>
      <c r="U140" s="41"/>
      <c r="V140" s="41"/>
      <c r="W140" s="64"/>
      <c r="X140" s="41"/>
      <c r="Y140" s="41"/>
      <c r="Z140" s="41"/>
      <c r="AA140" s="41"/>
      <c r="AB140" s="41"/>
    </row>
    <row r="141" spans="1:28" s="4" customFormat="1" ht="15" customHeight="1" x14ac:dyDescent="0.25">
      <c r="A141" s="4" t="s">
        <v>206</v>
      </c>
      <c r="C141" s="36">
        <f t="shared" ref="C141" si="442">C39/C84</f>
        <v>3.4567493666525596E-2</v>
      </c>
      <c r="D141" s="36">
        <f>D39/D84</f>
        <v>2.1483204650857624E-2</v>
      </c>
      <c r="E141" s="36">
        <f t="shared" ref="E141:V141" si="443">E39/E84</f>
        <v>2.8607305322365249E-2</v>
      </c>
      <c r="F141" s="36">
        <f t="shared" si="443"/>
        <v>3.0484595762220758E-2</v>
      </c>
      <c r="G141" s="36">
        <f t="shared" si="443"/>
        <v>3.1326673685188676E-2</v>
      </c>
      <c r="H141" s="36">
        <f t="shared" si="443"/>
        <v>2.2049763610781474E-2</v>
      </c>
      <c r="I141" s="36">
        <f t="shared" si="443"/>
        <v>4.7900837488087572E-2</v>
      </c>
      <c r="J141" s="36">
        <f t="shared" si="443"/>
        <v>3.2774579201233597E-2</v>
      </c>
      <c r="K141" s="36">
        <f t="shared" si="443"/>
        <v>3.5948792442983858E-2</v>
      </c>
      <c r="L141" s="36">
        <f t="shared" si="443"/>
        <v>3.2924499472961229E-2</v>
      </c>
      <c r="M141" s="36">
        <f t="shared" si="443"/>
        <v>2.2484841647997193E-2</v>
      </c>
      <c r="N141" s="36">
        <f t="shared" si="443"/>
        <v>4.5790157161830214E-2</v>
      </c>
      <c r="O141" s="36">
        <f t="shared" si="443"/>
        <v>3.1500516028128402E-2</v>
      </c>
      <c r="P141" s="36">
        <f t="shared" si="443"/>
        <v>1.6992251425514401E-2</v>
      </c>
      <c r="Q141" s="36">
        <f t="shared" si="443"/>
        <v>3.3209144592066232E-2</v>
      </c>
      <c r="R141" s="36">
        <f t="shared" si="443"/>
        <v>2.5834609151441576E-2</v>
      </c>
      <c r="S141" s="36">
        <f t="shared" si="443"/>
        <v>4.0626039367974001E-2</v>
      </c>
      <c r="T141" s="36">
        <f t="shared" si="443"/>
        <v>9.6384685423259939E-2</v>
      </c>
      <c r="U141" s="36">
        <f t="shared" si="443"/>
        <v>8.187021427853558E-2</v>
      </c>
      <c r="V141" s="36">
        <f t="shared" si="443"/>
        <v>0.1160427733905384</v>
      </c>
      <c r="W141" s="64"/>
      <c r="X141" s="41"/>
      <c r="Y141" s="41"/>
      <c r="Z141" s="41"/>
      <c r="AA141" s="41"/>
      <c r="AB141" s="41"/>
    </row>
    <row r="142" spans="1:28" s="4" customFormat="1" ht="15" customHeight="1" x14ac:dyDescent="0.25">
      <c r="A142" s="4" t="s">
        <v>206</v>
      </c>
      <c r="C142" s="36">
        <f t="shared" ref="C142" si="444">C39/C75</f>
        <v>5.3028409845247218E-2</v>
      </c>
      <c r="D142" s="36">
        <f>D39/D75</f>
        <v>4.0519786633389607E-2</v>
      </c>
      <c r="E142" s="36">
        <f t="shared" ref="E142:V142" si="445">E39/E75</f>
        <v>5.7539497251406287E-2</v>
      </c>
      <c r="F142" s="36">
        <f t="shared" si="445"/>
        <v>6.5236858017028609E-2</v>
      </c>
      <c r="G142" s="36">
        <f t="shared" si="445"/>
        <v>5.9583026138587937E-2</v>
      </c>
      <c r="H142" s="36">
        <f t="shared" si="445"/>
        <v>4.3525356846464837E-2</v>
      </c>
      <c r="I142" s="36">
        <f t="shared" si="445"/>
        <v>0.1242750011057969</v>
      </c>
      <c r="J142" s="36">
        <f t="shared" si="445"/>
        <v>6.9007231160698485E-2</v>
      </c>
      <c r="K142" s="36">
        <f t="shared" si="445"/>
        <v>6.1777172034252217E-2</v>
      </c>
      <c r="L142" s="36">
        <f t="shared" si="445"/>
        <v>5.7399975115739167E-2</v>
      </c>
      <c r="M142" s="36">
        <f t="shared" si="445"/>
        <v>5.190103139042071E-2</v>
      </c>
      <c r="N142" s="36">
        <f t="shared" si="445"/>
        <v>9.310087519899507E-2</v>
      </c>
      <c r="O142" s="36">
        <f t="shared" si="445"/>
        <v>5.8510526306717124E-2</v>
      </c>
      <c r="P142" s="36">
        <f t="shared" si="445"/>
        <v>4.0207720938520153E-2</v>
      </c>
      <c r="Q142" s="36">
        <f t="shared" si="445"/>
        <v>7.199279517698258E-2</v>
      </c>
      <c r="R142" s="36">
        <f t="shared" si="445"/>
        <v>5.5153139257265782E-2</v>
      </c>
      <c r="S142" s="36">
        <f t="shared" si="445"/>
        <v>0.11454719831867494</v>
      </c>
      <c r="T142" s="36">
        <f t="shared" si="445"/>
        <v>0.25778119709102998</v>
      </c>
      <c r="U142" s="36">
        <f t="shared" si="445"/>
        <v>0.25569673249123348</v>
      </c>
      <c r="V142" s="36">
        <f t="shared" si="445"/>
        <v>0.34751962042886775</v>
      </c>
      <c r="W142" s="64"/>
      <c r="X142" s="41"/>
      <c r="Y142" s="41"/>
      <c r="Z142" s="41"/>
      <c r="AA142" s="41"/>
      <c r="AB142" s="41"/>
    </row>
    <row r="143" spans="1:28" s="4" customFormat="1" ht="15" customHeight="1" x14ac:dyDescent="0.25">
      <c r="D143" s="40"/>
      <c r="E143" s="40"/>
      <c r="F143" s="40"/>
      <c r="G143" s="40"/>
      <c r="H143" s="7"/>
      <c r="I143" s="7"/>
      <c r="J143" s="7"/>
      <c r="K143" s="23"/>
      <c r="L143" s="23"/>
      <c r="M143" s="23"/>
      <c r="N143" s="23"/>
      <c r="O143" s="23"/>
      <c r="P143" s="23"/>
      <c r="Q143" s="41"/>
      <c r="R143" s="41"/>
      <c r="S143" s="41"/>
      <c r="T143" s="41"/>
      <c r="U143" s="41"/>
      <c r="V143" s="41"/>
      <c r="W143" s="64"/>
      <c r="X143" s="41"/>
      <c r="Y143" s="41"/>
      <c r="Z143" s="41"/>
      <c r="AA143" s="41"/>
      <c r="AB143" s="41"/>
    </row>
    <row r="144" spans="1:28" s="4" customFormat="1" ht="15" customHeight="1" x14ac:dyDescent="0.25">
      <c r="D144" s="40"/>
      <c r="E144" s="40"/>
      <c r="F144" s="40"/>
      <c r="G144" s="40"/>
      <c r="H144" s="7"/>
      <c r="I144" s="7"/>
      <c r="J144" s="7"/>
      <c r="K144" s="23"/>
      <c r="L144" s="23"/>
      <c r="M144" s="23"/>
      <c r="N144" s="23"/>
      <c r="O144" s="23"/>
      <c r="P144" s="23"/>
      <c r="Q144" s="41"/>
      <c r="R144" s="41"/>
      <c r="S144" s="41"/>
      <c r="T144" s="41"/>
      <c r="U144" s="41"/>
      <c r="V144" s="41"/>
      <c r="W144" s="64"/>
      <c r="X144" s="41"/>
      <c r="Y144" s="41"/>
      <c r="Z144" s="41"/>
      <c r="AA144" s="41"/>
      <c r="AB144" s="41"/>
    </row>
    <row r="145" spans="1:28" s="4" customFormat="1" ht="15" customHeight="1" x14ac:dyDescent="0.25">
      <c r="D145" s="40"/>
      <c r="E145" s="40"/>
      <c r="F145" s="40"/>
      <c r="G145" s="40"/>
      <c r="H145" s="7"/>
      <c r="I145" s="7"/>
      <c r="J145" s="7"/>
      <c r="K145" s="23"/>
      <c r="L145" s="23"/>
      <c r="M145" s="23"/>
      <c r="N145" s="23"/>
      <c r="O145" s="23"/>
      <c r="P145" s="23"/>
      <c r="Q145" s="41"/>
      <c r="R145" s="41"/>
      <c r="S145" s="41"/>
      <c r="T145" s="41"/>
      <c r="U145" s="41"/>
      <c r="V145" s="41"/>
      <c r="W145" s="64"/>
      <c r="X145" s="41"/>
      <c r="Y145" s="41"/>
      <c r="Z145" s="41"/>
      <c r="AA145" s="41"/>
      <c r="AB145" s="41"/>
    </row>
    <row r="146" spans="1:28" s="4" customFormat="1" ht="15" customHeight="1" x14ac:dyDescent="0.25">
      <c r="D146" s="40"/>
      <c r="E146" s="40"/>
      <c r="F146" s="40"/>
      <c r="G146" s="40"/>
      <c r="H146" s="7"/>
      <c r="I146" s="7"/>
      <c r="J146" s="7"/>
      <c r="K146" s="23"/>
      <c r="L146" s="23"/>
      <c r="M146" s="23"/>
      <c r="N146" s="23"/>
      <c r="O146" s="23"/>
      <c r="P146" s="23"/>
      <c r="Q146" s="41"/>
      <c r="R146" s="41"/>
      <c r="S146" s="41"/>
      <c r="T146" s="41"/>
      <c r="U146" s="41"/>
      <c r="V146" s="41"/>
      <c r="W146" s="64"/>
      <c r="X146" s="41"/>
      <c r="Y146" s="41"/>
      <c r="Z146" s="41"/>
      <c r="AA146" s="41"/>
      <c r="AB146" s="41"/>
    </row>
    <row r="147" spans="1:28" s="4" customFormat="1" ht="15" customHeight="1" x14ac:dyDescent="0.25">
      <c r="A147" s="9"/>
      <c r="D147" s="40"/>
      <c r="E147" s="40"/>
      <c r="F147" s="40"/>
      <c r="G147" s="40"/>
      <c r="H147" s="7"/>
      <c r="I147" s="7"/>
      <c r="J147" s="7"/>
      <c r="K147" s="23"/>
      <c r="L147" s="23"/>
      <c r="M147" s="23"/>
      <c r="N147" s="23"/>
      <c r="O147" s="23"/>
      <c r="P147" s="23"/>
      <c r="Q147" s="41"/>
      <c r="R147" s="41"/>
      <c r="S147" s="41"/>
      <c r="T147" s="41"/>
      <c r="U147" s="41"/>
      <c r="V147" s="41"/>
      <c r="W147" s="64"/>
      <c r="X147" s="41"/>
      <c r="Y147" s="41"/>
      <c r="Z147" s="41"/>
      <c r="AA147" s="41"/>
      <c r="AB147" s="41"/>
    </row>
    <row r="148" spans="1:28" s="4" customFormat="1" ht="15" customHeight="1" x14ac:dyDescent="0.25">
      <c r="D148" s="40"/>
      <c r="E148" s="40"/>
      <c r="F148" s="40"/>
      <c r="G148" s="40"/>
      <c r="H148" s="7"/>
      <c r="I148" s="7"/>
      <c r="J148" s="7"/>
      <c r="K148" s="23"/>
      <c r="L148" s="23"/>
      <c r="M148" s="23"/>
      <c r="N148" s="23"/>
      <c r="O148" s="23"/>
      <c r="P148" s="23"/>
      <c r="Q148" s="41"/>
      <c r="R148" s="41"/>
      <c r="S148" s="41"/>
      <c r="T148" s="41"/>
      <c r="U148" s="41"/>
      <c r="V148" s="41"/>
      <c r="W148" s="64"/>
      <c r="X148" s="41"/>
      <c r="Y148" s="41"/>
      <c r="Z148" s="41"/>
      <c r="AA148" s="41"/>
      <c r="AB148" s="41"/>
    </row>
    <row r="149" spans="1:28" s="4" customFormat="1" ht="15" customHeight="1" x14ac:dyDescent="0.25">
      <c r="D149" s="40"/>
      <c r="E149" s="40"/>
      <c r="F149" s="40"/>
      <c r="G149" s="40"/>
      <c r="H149" s="7"/>
      <c r="I149" s="7"/>
      <c r="J149" s="7"/>
      <c r="K149" s="23"/>
      <c r="L149" s="23"/>
      <c r="M149" s="23"/>
      <c r="N149" s="23"/>
      <c r="O149" s="23"/>
      <c r="P149" s="23"/>
      <c r="Q149" s="41"/>
      <c r="R149" s="41"/>
      <c r="S149" s="41"/>
      <c r="T149" s="41"/>
      <c r="U149" s="41"/>
      <c r="V149" s="41"/>
      <c r="W149" s="64"/>
      <c r="X149" s="41"/>
      <c r="Y149" s="41"/>
      <c r="Z149" s="41"/>
      <c r="AA149" s="41"/>
      <c r="AB149" s="41"/>
    </row>
    <row r="150" spans="1:28" s="4" customFormat="1" ht="15" customHeight="1" x14ac:dyDescent="0.25">
      <c r="D150" s="40"/>
      <c r="E150" s="40"/>
      <c r="F150" s="40"/>
      <c r="G150" s="40"/>
      <c r="H150" s="7"/>
      <c r="I150" s="7"/>
      <c r="J150" s="7"/>
      <c r="K150" s="23"/>
      <c r="L150" s="23"/>
      <c r="M150" s="23"/>
      <c r="N150" s="23"/>
      <c r="O150" s="23"/>
      <c r="P150" s="23"/>
      <c r="Q150" s="41"/>
      <c r="R150" s="41"/>
      <c r="S150" s="41"/>
      <c r="T150" s="41"/>
      <c r="U150" s="41"/>
      <c r="V150" s="41"/>
      <c r="W150" s="64"/>
      <c r="X150" s="41"/>
      <c r="Y150" s="41"/>
      <c r="Z150" s="41"/>
      <c r="AA150" s="41"/>
      <c r="AB150" s="41"/>
    </row>
    <row r="151" spans="1:28" s="4" customFormat="1" ht="15" customHeight="1" x14ac:dyDescent="0.25">
      <c r="D151" s="40"/>
      <c r="E151" s="40"/>
      <c r="F151" s="40"/>
      <c r="G151" s="40"/>
      <c r="H151" s="7"/>
      <c r="I151" s="7"/>
      <c r="J151" s="7"/>
      <c r="K151" s="15"/>
      <c r="L151" s="15"/>
      <c r="M151" s="23"/>
      <c r="N151" s="15"/>
      <c r="O151" s="15"/>
      <c r="P151" s="15"/>
      <c r="Q151" s="41"/>
      <c r="R151" s="41"/>
      <c r="S151" s="41"/>
      <c r="T151" s="41"/>
      <c r="U151" s="41"/>
      <c r="V151" s="41"/>
      <c r="W151" s="64"/>
      <c r="X151" s="41"/>
      <c r="Y151" s="41"/>
      <c r="Z151" s="41"/>
      <c r="AA151" s="41"/>
      <c r="AB151" s="41"/>
    </row>
    <row r="152" spans="1:28" s="4" customFormat="1" ht="15" customHeight="1" x14ac:dyDescent="0.25">
      <c r="D152" s="40"/>
      <c r="E152" s="40"/>
      <c r="F152" s="40"/>
      <c r="G152" s="40"/>
      <c r="H152" s="7"/>
      <c r="I152" s="7"/>
      <c r="J152" s="7"/>
      <c r="K152" s="15"/>
      <c r="L152" s="15"/>
      <c r="M152" s="23"/>
      <c r="N152" s="15"/>
      <c r="O152" s="15"/>
      <c r="P152" s="15"/>
      <c r="Q152" s="41"/>
      <c r="R152" s="41"/>
      <c r="S152" s="41"/>
      <c r="T152" s="41"/>
      <c r="U152" s="41"/>
      <c r="V152" s="41"/>
      <c r="W152" s="64"/>
      <c r="X152" s="41"/>
      <c r="Y152" s="41"/>
      <c r="Z152" s="41"/>
      <c r="AA152" s="41"/>
      <c r="AB152" s="41"/>
    </row>
    <row r="153" spans="1:28" s="4" customFormat="1" ht="15" customHeight="1" x14ac:dyDescent="0.25">
      <c r="A153" s="9"/>
      <c r="D153" s="40"/>
      <c r="E153" s="40"/>
      <c r="F153" s="40"/>
      <c r="G153" s="40"/>
      <c r="H153" s="7"/>
      <c r="I153" s="7"/>
      <c r="J153" s="7"/>
      <c r="K153" s="15"/>
      <c r="L153" s="15"/>
      <c r="M153" s="23"/>
      <c r="N153" s="15"/>
      <c r="O153" s="15"/>
      <c r="P153" s="15"/>
      <c r="Q153" s="41"/>
      <c r="R153" s="41"/>
      <c r="S153" s="41"/>
      <c r="T153" s="41"/>
      <c r="U153" s="41"/>
      <c r="V153" s="41"/>
      <c r="W153" s="64"/>
      <c r="X153" s="41"/>
      <c r="Y153" s="41"/>
      <c r="Z153" s="41"/>
      <c r="AA153" s="41"/>
      <c r="AB153" s="41"/>
    </row>
    <row r="154" spans="1:28" s="4" customFormat="1" ht="15" customHeight="1" x14ac:dyDescent="0.25">
      <c r="D154" s="40"/>
      <c r="E154" s="40"/>
      <c r="F154" s="40"/>
      <c r="G154" s="40"/>
      <c r="H154" s="7"/>
      <c r="I154" s="7"/>
      <c r="J154" s="7"/>
      <c r="K154" s="15"/>
      <c r="L154" s="15"/>
      <c r="M154" s="23"/>
      <c r="N154" s="15"/>
      <c r="O154" s="15"/>
      <c r="P154" s="15"/>
      <c r="Q154" s="41"/>
      <c r="R154" s="41"/>
      <c r="S154" s="41"/>
      <c r="T154" s="41"/>
      <c r="U154" s="41"/>
      <c r="V154" s="41"/>
      <c r="W154" s="64"/>
      <c r="X154" s="41"/>
      <c r="Y154" s="41"/>
      <c r="Z154" s="41"/>
      <c r="AA154" s="41"/>
      <c r="AB154" s="41"/>
    </row>
    <row r="155" spans="1:28" s="4" customFormat="1" ht="15" customHeight="1" x14ac:dyDescent="0.25">
      <c r="D155" s="40"/>
      <c r="E155" s="40"/>
      <c r="F155" s="40"/>
      <c r="G155" s="40"/>
      <c r="H155" s="7"/>
      <c r="I155" s="7"/>
      <c r="J155" s="7"/>
      <c r="K155" s="15"/>
      <c r="L155" s="15"/>
      <c r="M155" s="23"/>
      <c r="N155" s="15"/>
      <c r="O155" s="15"/>
      <c r="P155" s="15"/>
      <c r="Q155" s="41"/>
      <c r="R155" s="41"/>
      <c r="S155" s="41"/>
      <c r="T155" s="41"/>
      <c r="U155" s="41"/>
      <c r="V155" s="41"/>
      <c r="W155" s="64"/>
      <c r="X155" s="41"/>
      <c r="Y155" s="41"/>
      <c r="Z155" s="41"/>
      <c r="AA155" s="41"/>
      <c r="AB155" s="41"/>
    </row>
    <row r="156" spans="1:28" s="4" customFormat="1" ht="15" customHeight="1" x14ac:dyDescent="0.25">
      <c r="D156" s="40"/>
      <c r="E156" s="40"/>
      <c r="F156" s="40"/>
      <c r="G156" s="40"/>
      <c r="H156" s="7"/>
      <c r="I156" s="7"/>
      <c r="J156" s="7"/>
      <c r="K156" s="15"/>
      <c r="L156" s="15"/>
      <c r="M156" s="23"/>
      <c r="N156" s="15"/>
      <c r="O156" s="15"/>
      <c r="P156" s="15"/>
      <c r="Q156" s="41"/>
      <c r="R156" s="41"/>
      <c r="S156" s="41"/>
      <c r="T156" s="41"/>
      <c r="U156" s="41"/>
      <c r="V156" s="41"/>
      <c r="W156" s="64"/>
      <c r="X156" s="41"/>
      <c r="Y156" s="41"/>
      <c r="Z156" s="41"/>
      <c r="AA156" s="41"/>
      <c r="AB156" s="41"/>
    </row>
    <row r="157" spans="1:28" s="4" customFormat="1" ht="15" customHeight="1" x14ac:dyDescent="0.25">
      <c r="D157" s="40"/>
      <c r="E157" s="40"/>
      <c r="F157" s="40"/>
      <c r="G157" s="40"/>
      <c r="H157" s="7"/>
      <c r="I157" s="7"/>
      <c r="J157" s="7"/>
      <c r="K157" s="15"/>
      <c r="L157" s="15"/>
      <c r="M157" s="23"/>
      <c r="N157" s="15"/>
      <c r="O157" s="15"/>
      <c r="P157" s="15"/>
      <c r="Q157" s="41"/>
      <c r="R157" s="41"/>
      <c r="S157" s="41"/>
      <c r="T157" s="41"/>
      <c r="U157" s="41"/>
      <c r="V157" s="41"/>
      <c r="W157" s="64"/>
      <c r="X157" s="41"/>
      <c r="Y157" s="41"/>
      <c r="Z157" s="41"/>
      <c r="AA157" s="41"/>
      <c r="AB157" s="41"/>
    </row>
    <row r="158" spans="1:28" s="4" customFormat="1" ht="15" customHeight="1" x14ac:dyDescent="0.25">
      <c r="D158" s="40"/>
      <c r="E158" s="40"/>
      <c r="F158" s="40"/>
      <c r="G158" s="40"/>
      <c r="H158" s="7"/>
      <c r="I158" s="7"/>
      <c r="J158" s="7"/>
      <c r="K158" s="15"/>
      <c r="L158" s="15"/>
      <c r="M158" s="23"/>
      <c r="N158" s="15"/>
      <c r="O158" s="15"/>
      <c r="P158" s="15"/>
      <c r="Q158" s="41"/>
      <c r="R158" s="41"/>
      <c r="S158" s="41"/>
      <c r="T158" s="41"/>
      <c r="U158" s="41"/>
      <c r="V158" s="41"/>
      <c r="W158" s="64"/>
      <c r="X158" s="41"/>
      <c r="Y158" s="41"/>
      <c r="Z158" s="41"/>
      <c r="AA158" s="41"/>
      <c r="AB158" s="41"/>
    </row>
    <row r="159" spans="1:28" s="4" customFormat="1" ht="15" customHeight="1" x14ac:dyDescent="0.25">
      <c r="A159" s="9"/>
      <c r="D159" s="40"/>
      <c r="E159" s="40"/>
      <c r="F159" s="40"/>
      <c r="G159" s="40"/>
      <c r="H159" s="7"/>
      <c r="I159" s="7"/>
      <c r="J159" s="7"/>
      <c r="K159" s="15"/>
      <c r="L159" s="15"/>
      <c r="M159" s="23"/>
      <c r="N159" s="15"/>
      <c r="O159" s="15"/>
      <c r="P159" s="15"/>
      <c r="Q159" s="41"/>
      <c r="R159" s="41"/>
      <c r="S159" s="41"/>
      <c r="T159" s="41"/>
      <c r="U159" s="41"/>
      <c r="V159" s="41"/>
      <c r="W159" s="64"/>
      <c r="X159" s="41"/>
      <c r="Y159" s="41"/>
      <c r="Z159" s="41"/>
      <c r="AA159" s="41"/>
      <c r="AB159" s="41"/>
    </row>
    <row r="160" spans="1:28" s="4" customFormat="1" ht="15" customHeight="1" x14ac:dyDescent="0.25">
      <c r="D160" s="40"/>
      <c r="E160" s="40"/>
      <c r="F160" s="40"/>
      <c r="G160" s="40"/>
      <c r="H160" s="7"/>
      <c r="I160" s="7"/>
      <c r="J160" s="7"/>
      <c r="K160" s="15"/>
      <c r="L160" s="15"/>
      <c r="M160" s="23"/>
      <c r="N160" s="15"/>
      <c r="O160" s="15"/>
      <c r="P160" s="15"/>
      <c r="Q160" s="41"/>
      <c r="R160" s="41"/>
      <c r="S160" s="41"/>
      <c r="T160" s="41"/>
      <c r="U160" s="41"/>
      <c r="V160" s="41"/>
      <c r="W160" s="64"/>
      <c r="X160" s="41"/>
      <c r="Y160" s="41"/>
      <c r="Z160" s="41"/>
      <c r="AA160" s="41"/>
      <c r="AB160" s="41"/>
    </row>
    <row r="161" spans="1:28" s="4" customFormat="1" ht="15" customHeight="1" x14ac:dyDescent="0.25">
      <c r="D161" s="40"/>
      <c r="E161" s="40"/>
      <c r="F161" s="40"/>
      <c r="G161" s="40"/>
      <c r="H161" s="7"/>
      <c r="I161" s="7"/>
      <c r="J161" s="7"/>
      <c r="K161" s="15"/>
      <c r="L161" s="15"/>
      <c r="M161" s="23"/>
      <c r="N161" s="15"/>
      <c r="O161" s="15"/>
      <c r="P161" s="15"/>
      <c r="Q161" s="41"/>
      <c r="R161" s="41"/>
      <c r="S161" s="41"/>
      <c r="T161" s="41"/>
      <c r="U161" s="41"/>
      <c r="V161" s="41"/>
      <c r="W161" s="64"/>
      <c r="X161" s="41"/>
      <c r="Y161" s="41"/>
      <c r="Z161" s="41"/>
      <c r="AA161" s="41"/>
      <c r="AB161" s="41"/>
    </row>
    <row r="162" spans="1:28" s="4" customFormat="1" ht="15" customHeight="1" x14ac:dyDescent="0.25">
      <c r="D162" s="40"/>
      <c r="E162" s="40"/>
      <c r="F162" s="40"/>
      <c r="G162" s="40"/>
      <c r="H162" s="7"/>
      <c r="I162" s="7"/>
      <c r="J162" s="7"/>
      <c r="K162" s="15"/>
      <c r="L162" s="15"/>
      <c r="M162" s="23"/>
      <c r="N162" s="15"/>
      <c r="O162" s="15"/>
      <c r="P162" s="15"/>
      <c r="Q162" s="41"/>
      <c r="R162" s="41"/>
      <c r="S162" s="41"/>
      <c r="T162" s="41"/>
      <c r="U162" s="41"/>
      <c r="V162" s="41"/>
      <c r="W162" s="64"/>
      <c r="X162" s="41"/>
      <c r="Y162" s="41"/>
      <c r="Z162" s="41"/>
      <c r="AA162" s="41"/>
      <c r="AB162" s="41"/>
    </row>
    <row r="163" spans="1:28" s="4" customFormat="1" ht="15" customHeight="1" x14ac:dyDescent="0.25">
      <c r="D163" s="40"/>
      <c r="E163" s="40"/>
      <c r="F163" s="40"/>
      <c r="G163" s="40"/>
      <c r="H163" s="7"/>
      <c r="I163" s="7"/>
      <c r="J163" s="7"/>
      <c r="K163" s="15"/>
      <c r="L163" s="15"/>
      <c r="M163" s="23"/>
      <c r="N163" s="15"/>
      <c r="O163" s="15"/>
      <c r="P163" s="15"/>
      <c r="Q163" s="41"/>
      <c r="R163" s="41"/>
      <c r="S163" s="41"/>
      <c r="T163" s="41"/>
      <c r="U163" s="41"/>
      <c r="V163" s="41"/>
      <c r="W163" s="64"/>
      <c r="X163" s="41"/>
      <c r="Y163" s="41"/>
      <c r="Z163" s="41"/>
      <c r="AA163" s="41"/>
      <c r="AB163" s="41"/>
    </row>
    <row r="164" spans="1:28" s="4" customFormat="1" ht="15" customHeight="1" x14ac:dyDescent="0.25">
      <c r="D164" s="40"/>
      <c r="E164" s="40"/>
      <c r="F164" s="40"/>
      <c r="G164" s="40"/>
      <c r="H164" s="7"/>
      <c r="I164" s="7"/>
      <c r="J164" s="7"/>
      <c r="K164" s="15"/>
      <c r="L164" s="15"/>
      <c r="M164" s="23"/>
      <c r="N164" s="15"/>
      <c r="O164" s="15"/>
      <c r="P164" s="15"/>
      <c r="Q164" s="41"/>
      <c r="R164" s="41"/>
      <c r="S164" s="41"/>
      <c r="T164" s="41"/>
      <c r="U164" s="41"/>
      <c r="V164" s="41"/>
      <c r="W164" s="64"/>
      <c r="X164" s="41"/>
      <c r="Y164" s="41"/>
      <c r="Z164" s="41"/>
      <c r="AA164" s="41"/>
      <c r="AB164" s="41"/>
    </row>
    <row r="165" spans="1:28" s="4" customFormat="1" ht="15" customHeight="1" x14ac:dyDescent="0.25">
      <c r="A165" s="9"/>
      <c r="D165" s="40"/>
      <c r="E165" s="40"/>
      <c r="F165" s="40"/>
      <c r="G165" s="40"/>
      <c r="H165" s="7"/>
      <c r="I165" s="7"/>
      <c r="J165" s="7"/>
      <c r="K165" s="15"/>
      <c r="L165" s="15"/>
      <c r="M165" s="23"/>
      <c r="N165" s="15"/>
      <c r="O165" s="15"/>
      <c r="P165" s="15"/>
      <c r="Q165" s="41"/>
      <c r="R165" s="41"/>
      <c r="S165" s="41"/>
      <c r="T165" s="41"/>
      <c r="U165" s="41"/>
      <c r="V165" s="41"/>
      <c r="W165" s="64"/>
      <c r="X165" s="41"/>
      <c r="Y165" s="41"/>
      <c r="Z165" s="41"/>
      <c r="AA165" s="41"/>
      <c r="AB165" s="41"/>
    </row>
    <row r="166" spans="1:28" s="4" customFormat="1" ht="15" customHeight="1" x14ac:dyDescent="0.25">
      <c r="D166" s="40"/>
      <c r="E166" s="40"/>
      <c r="F166" s="40"/>
      <c r="G166" s="40"/>
      <c r="H166" s="7"/>
      <c r="I166" s="7"/>
      <c r="J166" s="7"/>
      <c r="K166" s="15"/>
      <c r="L166" s="15"/>
      <c r="M166" s="23"/>
      <c r="N166" s="15"/>
      <c r="O166" s="15"/>
      <c r="P166" s="15"/>
      <c r="Q166" s="41"/>
      <c r="R166" s="41"/>
      <c r="S166" s="41"/>
      <c r="T166" s="41"/>
      <c r="U166" s="41"/>
      <c r="V166" s="41"/>
      <c r="W166" s="64"/>
      <c r="X166" s="41"/>
      <c r="Y166" s="41"/>
      <c r="Z166" s="41"/>
      <c r="AA166" s="41"/>
      <c r="AB166" s="41"/>
    </row>
    <row r="167" spans="1:28" s="4" customFormat="1" ht="15" customHeight="1" x14ac:dyDescent="0.25">
      <c r="A167" s="10"/>
      <c r="B167" s="10"/>
      <c r="C167" s="10"/>
      <c r="D167" s="43"/>
      <c r="E167" s="43"/>
      <c r="F167" s="43"/>
      <c r="G167" s="43"/>
      <c r="H167" s="8"/>
      <c r="I167" s="8"/>
      <c r="J167" s="8"/>
      <c r="K167" s="15"/>
      <c r="L167" s="15"/>
      <c r="M167" s="23"/>
      <c r="N167" s="15"/>
      <c r="O167" s="15"/>
      <c r="P167" s="15"/>
      <c r="Q167" s="41"/>
      <c r="R167" s="41"/>
      <c r="S167" s="41"/>
      <c r="T167" s="41"/>
      <c r="U167" s="41"/>
      <c r="V167" s="41"/>
      <c r="W167" s="64"/>
      <c r="X167" s="41"/>
      <c r="Y167" s="41"/>
      <c r="Z167" s="41"/>
      <c r="AA167" s="41"/>
      <c r="AB167" s="41"/>
    </row>
    <row r="168" spans="1:28" s="4" customFormat="1" ht="15" customHeight="1" x14ac:dyDescent="0.25">
      <c r="D168" s="40"/>
      <c r="E168" s="40"/>
      <c r="F168" s="40"/>
      <c r="G168" s="40"/>
      <c r="H168" s="7"/>
      <c r="I168" s="7"/>
      <c r="J168" s="7"/>
      <c r="K168" s="15"/>
      <c r="L168" s="15"/>
      <c r="M168" s="23"/>
      <c r="N168" s="15"/>
      <c r="O168" s="15"/>
      <c r="P168" s="15"/>
      <c r="Q168" s="41"/>
      <c r="R168" s="41"/>
      <c r="S168" s="41"/>
      <c r="T168" s="41"/>
      <c r="U168" s="41"/>
      <c r="V168" s="41"/>
      <c r="W168" s="64"/>
      <c r="X168" s="41"/>
      <c r="Y168" s="41"/>
      <c r="Z168" s="41"/>
      <c r="AA168" s="41"/>
      <c r="AB168" s="41"/>
    </row>
    <row r="169" spans="1:28" s="4" customFormat="1" ht="15" customHeight="1" x14ac:dyDescent="0.25">
      <c r="D169" s="40"/>
      <c r="E169" s="40"/>
      <c r="F169" s="40"/>
      <c r="G169" s="40"/>
      <c r="H169" s="7"/>
      <c r="I169" s="7"/>
      <c r="J169" s="7"/>
      <c r="K169" s="15"/>
      <c r="L169" s="15"/>
      <c r="M169" s="23"/>
      <c r="N169" s="15"/>
      <c r="O169" s="15"/>
      <c r="P169" s="15"/>
      <c r="Q169" s="41"/>
      <c r="R169" s="41"/>
      <c r="S169" s="41"/>
      <c r="T169" s="41"/>
      <c r="U169" s="41"/>
      <c r="V169" s="41"/>
      <c r="W169" s="64"/>
      <c r="X169" s="41"/>
      <c r="Y169" s="41"/>
      <c r="Z169" s="41"/>
      <c r="AA169" s="41"/>
      <c r="AB169" s="41"/>
    </row>
    <row r="170" spans="1:28" s="4" customFormat="1" ht="15" customHeight="1" x14ac:dyDescent="0.25">
      <c r="A170" s="9"/>
      <c r="D170" s="40"/>
      <c r="E170" s="40"/>
      <c r="F170" s="40"/>
      <c r="G170" s="40"/>
      <c r="H170" s="7"/>
      <c r="I170" s="7"/>
      <c r="J170" s="7"/>
      <c r="K170" s="15"/>
      <c r="L170" s="15"/>
      <c r="M170" s="23"/>
      <c r="N170" s="15"/>
      <c r="O170" s="15"/>
      <c r="P170" s="15"/>
      <c r="Q170" s="41"/>
      <c r="R170" s="41"/>
      <c r="S170" s="41"/>
      <c r="T170" s="41"/>
      <c r="U170" s="41"/>
      <c r="V170" s="41"/>
      <c r="W170" s="64"/>
      <c r="X170" s="41"/>
      <c r="Y170" s="41"/>
      <c r="Z170" s="41"/>
      <c r="AA170" s="41"/>
      <c r="AB170" s="41"/>
    </row>
    <row r="171" spans="1:28" s="4" customFormat="1" ht="15" customHeight="1" x14ac:dyDescent="0.25">
      <c r="D171" s="40"/>
      <c r="E171" s="40"/>
      <c r="F171" s="40"/>
      <c r="G171" s="40"/>
      <c r="H171" s="7"/>
      <c r="I171" s="7"/>
      <c r="J171" s="7"/>
      <c r="K171" s="15"/>
      <c r="L171" s="15"/>
      <c r="M171" s="23"/>
      <c r="N171" s="15"/>
      <c r="O171" s="15"/>
      <c r="P171" s="15"/>
      <c r="Q171" s="41"/>
      <c r="R171" s="41"/>
      <c r="S171" s="41"/>
      <c r="T171" s="41"/>
      <c r="U171" s="41"/>
      <c r="V171" s="41"/>
      <c r="W171" s="64"/>
      <c r="X171" s="41"/>
      <c r="Y171" s="41"/>
      <c r="Z171" s="41"/>
      <c r="AA171" s="41"/>
      <c r="AB171" s="41"/>
    </row>
    <row r="172" spans="1:28" s="4" customFormat="1" ht="15" customHeight="1" x14ac:dyDescent="0.25">
      <c r="D172" s="40"/>
      <c r="E172" s="40"/>
      <c r="F172" s="40"/>
      <c r="G172" s="40"/>
      <c r="H172" s="7"/>
      <c r="I172" s="7"/>
      <c r="J172" s="7"/>
      <c r="K172" s="15"/>
      <c r="L172" s="15"/>
      <c r="M172" s="23"/>
      <c r="N172" s="15"/>
      <c r="O172" s="15"/>
      <c r="P172" s="15"/>
      <c r="Q172" s="41"/>
      <c r="R172" s="41"/>
      <c r="S172" s="41"/>
      <c r="T172" s="41"/>
      <c r="U172" s="41"/>
      <c r="V172" s="41"/>
      <c r="W172" s="64"/>
      <c r="X172" s="41"/>
      <c r="Y172" s="41"/>
      <c r="Z172" s="41"/>
      <c r="AA172" s="41"/>
      <c r="AB172" s="41"/>
    </row>
    <row r="173" spans="1:28" s="4" customFormat="1" ht="15" customHeight="1" x14ac:dyDescent="0.25">
      <c r="D173" s="40"/>
      <c r="E173" s="40"/>
      <c r="F173" s="40"/>
      <c r="G173" s="40"/>
      <c r="H173" s="7"/>
      <c r="I173" s="7"/>
      <c r="J173" s="7"/>
      <c r="K173" s="15"/>
      <c r="L173" s="15"/>
      <c r="M173" s="23"/>
      <c r="N173" s="15"/>
      <c r="O173" s="15"/>
      <c r="P173" s="15"/>
      <c r="Q173" s="41"/>
      <c r="R173" s="41"/>
      <c r="S173" s="41"/>
      <c r="T173" s="41"/>
      <c r="U173" s="41"/>
      <c r="V173" s="41"/>
      <c r="W173" s="64"/>
      <c r="X173" s="41"/>
      <c r="Y173" s="41"/>
      <c r="Z173" s="41"/>
      <c r="AA173" s="41"/>
      <c r="AB173" s="41"/>
    </row>
    <row r="174" spans="1:28" s="4" customFormat="1" ht="15" customHeight="1" x14ac:dyDescent="0.25">
      <c r="D174" s="40"/>
      <c r="E174" s="40"/>
      <c r="F174" s="40"/>
      <c r="G174" s="40"/>
      <c r="H174" s="7"/>
      <c r="I174" s="7"/>
      <c r="J174" s="7"/>
      <c r="K174" s="15"/>
      <c r="L174" s="15"/>
      <c r="M174" s="23"/>
      <c r="N174" s="15"/>
      <c r="O174" s="15"/>
      <c r="P174" s="15"/>
      <c r="Q174" s="41"/>
      <c r="R174" s="41"/>
      <c r="S174" s="41"/>
      <c r="T174" s="41"/>
      <c r="U174" s="41"/>
      <c r="V174" s="41"/>
      <c r="W174" s="64"/>
      <c r="X174" s="41"/>
      <c r="Y174" s="41"/>
      <c r="Z174" s="41"/>
      <c r="AA174" s="41"/>
      <c r="AB174" s="41"/>
    </row>
    <row r="175" spans="1:28" s="4" customFormat="1" ht="15" customHeight="1" x14ac:dyDescent="0.25">
      <c r="D175" s="40"/>
      <c r="E175" s="40"/>
      <c r="F175" s="40"/>
      <c r="G175" s="40"/>
      <c r="H175" s="7"/>
      <c r="I175" s="7"/>
      <c r="J175" s="7"/>
      <c r="K175" s="15"/>
      <c r="L175" s="15"/>
      <c r="M175" s="23"/>
      <c r="N175" s="15"/>
      <c r="O175" s="15"/>
      <c r="P175" s="15"/>
      <c r="Q175" s="41"/>
      <c r="R175" s="41"/>
      <c r="S175" s="41"/>
      <c r="T175" s="41"/>
      <c r="U175" s="41"/>
      <c r="V175" s="41"/>
      <c r="W175" s="64"/>
      <c r="X175" s="41"/>
      <c r="Y175" s="41"/>
      <c r="Z175" s="41"/>
      <c r="AA175" s="41"/>
      <c r="AB175" s="41"/>
    </row>
    <row r="176" spans="1:28" s="4" customFormat="1" ht="15" customHeight="1" x14ac:dyDescent="0.25">
      <c r="D176" s="40"/>
      <c r="E176" s="40"/>
      <c r="F176" s="40"/>
      <c r="G176" s="40"/>
      <c r="H176" s="7"/>
      <c r="I176" s="7"/>
      <c r="J176" s="7"/>
      <c r="K176" s="15"/>
      <c r="L176" s="15"/>
      <c r="M176" s="23"/>
      <c r="N176" s="15"/>
      <c r="O176" s="15"/>
      <c r="P176" s="15"/>
      <c r="Q176" s="41"/>
      <c r="R176" s="41"/>
      <c r="S176" s="41"/>
      <c r="T176" s="41"/>
      <c r="U176" s="41"/>
      <c r="V176" s="41"/>
      <c r="W176" s="64"/>
      <c r="X176" s="41"/>
      <c r="Y176" s="41"/>
      <c r="Z176" s="41"/>
      <c r="AA176" s="41"/>
      <c r="AB176" s="41"/>
    </row>
    <row r="177" spans="4:28" s="4" customFormat="1" ht="15" customHeight="1" x14ac:dyDescent="0.25">
      <c r="D177" s="40"/>
      <c r="E177" s="40"/>
      <c r="F177" s="40"/>
      <c r="G177" s="40"/>
      <c r="H177" s="7"/>
      <c r="I177" s="7"/>
      <c r="J177" s="7"/>
      <c r="K177" s="15"/>
      <c r="L177" s="15"/>
      <c r="M177" s="23"/>
      <c r="N177" s="15"/>
      <c r="O177" s="15"/>
      <c r="P177" s="15"/>
      <c r="Q177" s="41"/>
      <c r="R177" s="41"/>
      <c r="S177" s="41"/>
      <c r="T177" s="41"/>
      <c r="U177" s="41"/>
      <c r="V177" s="41"/>
      <c r="W177" s="64"/>
      <c r="X177" s="41"/>
      <c r="Y177" s="41"/>
      <c r="Z177" s="41"/>
      <c r="AA177" s="41"/>
      <c r="AB177" s="41"/>
    </row>
    <row r="178" spans="4:28" s="4" customFormat="1" ht="15" customHeight="1" x14ac:dyDescent="0.25">
      <c r="D178" s="40"/>
      <c r="E178" s="40"/>
      <c r="F178" s="40"/>
      <c r="G178" s="40"/>
      <c r="H178" s="7"/>
      <c r="I178" s="7"/>
      <c r="J178" s="7"/>
      <c r="K178" s="15"/>
      <c r="L178" s="15"/>
      <c r="M178" s="23"/>
      <c r="N178" s="15"/>
      <c r="O178" s="15"/>
      <c r="P178" s="15"/>
      <c r="Q178" s="41"/>
      <c r="R178" s="41"/>
      <c r="S178" s="41"/>
      <c r="T178" s="41"/>
      <c r="U178" s="41"/>
      <c r="V178" s="41"/>
      <c r="W178" s="64"/>
      <c r="X178" s="41"/>
      <c r="Y178" s="41"/>
      <c r="Z178" s="41"/>
      <c r="AA178" s="41"/>
      <c r="AB178" s="41"/>
    </row>
    <row r="179" spans="4:28" s="4" customFormat="1" ht="15" customHeight="1" x14ac:dyDescent="0.25">
      <c r="D179" s="40"/>
      <c r="E179" s="40"/>
      <c r="F179" s="40"/>
      <c r="G179" s="40"/>
      <c r="H179" s="7"/>
      <c r="I179" s="7"/>
      <c r="J179" s="7"/>
      <c r="K179" s="15"/>
      <c r="L179" s="15"/>
      <c r="M179" s="23"/>
      <c r="N179" s="15"/>
      <c r="O179" s="15"/>
      <c r="P179" s="15"/>
      <c r="Q179" s="41"/>
      <c r="R179" s="41"/>
      <c r="S179" s="41"/>
      <c r="T179" s="41"/>
      <c r="U179" s="41"/>
      <c r="V179" s="41"/>
      <c r="W179" s="64"/>
      <c r="X179" s="41"/>
      <c r="Y179" s="41"/>
      <c r="Z179" s="41"/>
      <c r="AA179" s="41"/>
      <c r="AB179" s="41"/>
    </row>
    <row r="180" spans="4:28" s="4" customFormat="1" ht="15" customHeight="1" x14ac:dyDescent="0.25">
      <c r="D180" s="40"/>
      <c r="E180" s="40"/>
      <c r="F180" s="40"/>
      <c r="G180" s="40"/>
      <c r="H180" s="7"/>
      <c r="I180" s="7"/>
      <c r="J180" s="7"/>
      <c r="K180" s="15"/>
      <c r="L180" s="15"/>
      <c r="M180" s="23"/>
      <c r="N180" s="15"/>
      <c r="O180" s="15"/>
      <c r="P180" s="15"/>
      <c r="Q180" s="41"/>
      <c r="R180" s="41"/>
      <c r="S180" s="41"/>
      <c r="T180" s="41"/>
      <c r="U180" s="41"/>
      <c r="V180" s="41"/>
      <c r="W180" s="64"/>
      <c r="X180" s="41"/>
      <c r="Y180" s="41"/>
      <c r="Z180" s="41"/>
      <c r="AA180" s="41"/>
      <c r="AB180" s="41"/>
    </row>
    <row r="181" spans="4:28" s="4" customFormat="1" x14ac:dyDescent="0.25">
      <c r="D181" s="40"/>
      <c r="E181" s="40"/>
      <c r="F181" s="40"/>
      <c r="G181" s="40"/>
      <c r="H181" s="7"/>
      <c r="I181" s="7"/>
      <c r="J181" s="7"/>
      <c r="K181" s="15"/>
      <c r="L181" s="15"/>
      <c r="M181" s="23"/>
      <c r="N181" s="15"/>
      <c r="O181" s="15"/>
      <c r="P181" s="15"/>
      <c r="Q181" s="41"/>
      <c r="R181" s="41"/>
      <c r="S181" s="41"/>
      <c r="T181" s="41"/>
      <c r="U181" s="41"/>
      <c r="V181" s="41"/>
      <c r="W181" s="64"/>
      <c r="X181" s="41"/>
      <c r="Y181" s="41"/>
      <c r="Z181" s="41"/>
      <c r="AA181" s="41"/>
      <c r="AB181" s="41"/>
    </row>
    <row r="182" spans="4:28" s="4" customFormat="1" x14ac:dyDescent="0.25">
      <c r="D182" s="40"/>
      <c r="E182" s="40"/>
      <c r="F182" s="40"/>
      <c r="G182" s="40"/>
      <c r="H182" s="7"/>
      <c r="I182" s="7"/>
      <c r="J182" s="7"/>
      <c r="K182" s="15"/>
      <c r="L182" s="15"/>
      <c r="M182" s="23"/>
      <c r="N182" s="15"/>
      <c r="O182" s="15"/>
      <c r="P182" s="15"/>
      <c r="Q182" s="41"/>
      <c r="R182" s="41"/>
      <c r="S182" s="41"/>
      <c r="T182" s="41"/>
      <c r="U182" s="41"/>
      <c r="V182" s="41"/>
      <c r="W182" s="64"/>
      <c r="X182" s="41"/>
      <c r="Y182" s="41"/>
      <c r="Z182" s="41"/>
      <c r="AA182" s="41"/>
      <c r="AB182" s="41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Расчёт по чертежу Т-50</vt:lpstr>
      <vt:lpstr>Лист2</vt:lpstr>
      <vt:lpstr>Лист3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Пользователь Windows</cp:lastModifiedBy>
  <cp:lastPrinted>2013-05-25T21:39:04Z</cp:lastPrinted>
  <dcterms:created xsi:type="dcterms:W3CDTF">2012-04-19T17:24:49Z</dcterms:created>
  <dcterms:modified xsi:type="dcterms:W3CDTF">2017-09-15T01:26:27Z</dcterms:modified>
</cp:coreProperties>
</file>