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Корея\количественный состав\"/>
    </mc:Choice>
  </mc:AlternateContent>
  <bookViews>
    <workbookView xWindow="240" yWindow="150" windowWidth="18195" windowHeight="7740"/>
  </bookViews>
  <sheets>
    <sheet name="Вариант 1" sheetId="10" r:id="rId1"/>
    <sheet name="Вариант 2" sheetId="13" r:id="rId2"/>
    <sheet name="Боевое напряжение 30-10-15" sheetId="9" r:id="rId3"/>
    <sheet name="Боевое напряжение 24-10-15" sheetId="8" r:id="rId4"/>
    <sheet name="Боевое напряжение 23-6-15" sheetId="7" r:id="rId5"/>
  </sheets>
  <calcPr calcId="152511"/>
</workbook>
</file>

<file path=xl/calcChain.xml><?xml version="1.0" encoding="utf-8"?>
<calcChain xmlns="http://schemas.openxmlformats.org/spreadsheetml/2006/main">
  <c r="K47" i="13" l="1"/>
  <c r="K46" i="13"/>
  <c r="J44" i="13"/>
  <c r="L43" i="13"/>
  <c r="L42" i="13"/>
  <c r="L41" i="13"/>
  <c r="L40" i="13"/>
  <c r="M40" i="13" s="1"/>
  <c r="M41" i="13" s="1"/>
  <c r="M42" i="13" s="1"/>
  <c r="M43" i="13" s="1"/>
  <c r="K40" i="13"/>
  <c r="K41" i="13" s="1"/>
  <c r="K42" i="13" s="1"/>
  <c r="K43" i="13" s="1"/>
  <c r="H36" i="13"/>
  <c r="B36" i="13"/>
  <c r="N34" i="13"/>
  <c r="L34" i="13"/>
  <c r="K34" i="13"/>
  <c r="G34" i="13"/>
  <c r="E34" i="13"/>
  <c r="N33" i="13"/>
  <c r="L33" i="13"/>
  <c r="K33" i="13"/>
  <c r="G33" i="13"/>
  <c r="E33" i="13"/>
  <c r="N32" i="13"/>
  <c r="L32" i="13"/>
  <c r="K32" i="13"/>
  <c r="G32" i="13"/>
  <c r="E32" i="13"/>
  <c r="N31" i="13"/>
  <c r="L31" i="13"/>
  <c r="K31" i="13"/>
  <c r="G31" i="13"/>
  <c r="E31" i="13"/>
  <c r="N30" i="13"/>
  <c r="L30" i="13"/>
  <c r="K30" i="13"/>
  <c r="G30" i="13"/>
  <c r="E30" i="13"/>
  <c r="N29" i="13"/>
  <c r="L29" i="13"/>
  <c r="K29" i="13"/>
  <c r="G29" i="13"/>
  <c r="E29" i="13"/>
  <c r="N28" i="13"/>
  <c r="L28" i="13"/>
  <c r="K28" i="13"/>
  <c r="G28" i="13"/>
  <c r="E28" i="13"/>
  <c r="N27" i="13"/>
  <c r="L27" i="13"/>
  <c r="K27" i="13"/>
  <c r="G27" i="13"/>
  <c r="E27" i="13"/>
  <c r="N26" i="13"/>
  <c r="L26" i="13"/>
  <c r="K26" i="13"/>
  <c r="G26" i="13"/>
  <c r="E26" i="13"/>
  <c r="C42" i="13" s="1"/>
  <c r="N25" i="13"/>
  <c r="L25" i="13"/>
  <c r="K25" i="13"/>
  <c r="G25" i="13"/>
  <c r="E25" i="13"/>
  <c r="N24" i="13"/>
  <c r="L24" i="13"/>
  <c r="K24" i="13"/>
  <c r="G24" i="13"/>
  <c r="E24" i="13"/>
  <c r="N23" i="13"/>
  <c r="L23" i="13"/>
  <c r="M28" i="13" s="1"/>
  <c r="K23" i="13"/>
  <c r="G23" i="13"/>
  <c r="E23" i="13"/>
  <c r="F28" i="13" s="1"/>
  <c r="N22" i="13"/>
  <c r="L22" i="13"/>
  <c r="K22" i="13"/>
  <c r="G22" i="13"/>
  <c r="E22" i="13"/>
  <c r="N21" i="13"/>
  <c r="L21" i="13"/>
  <c r="K21" i="13"/>
  <c r="G21" i="13"/>
  <c r="E21" i="13"/>
  <c r="N20" i="13"/>
  <c r="L20" i="13"/>
  <c r="D41" i="13" s="1"/>
  <c r="K20" i="13"/>
  <c r="G20" i="13"/>
  <c r="E20" i="13"/>
  <c r="N19" i="13"/>
  <c r="L19" i="13"/>
  <c r="K19" i="13"/>
  <c r="G19" i="13"/>
  <c r="E19" i="13"/>
  <c r="N18" i="13"/>
  <c r="L18" i="13"/>
  <c r="M20" i="13" s="1"/>
  <c r="K18" i="13"/>
  <c r="G18" i="13"/>
  <c r="E18" i="13"/>
  <c r="N17" i="13"/>
  <c r="L17" i="13"/>
  <c r="K17" i="13"/>
  <c r="G17" i="13"/>
  <c r="E17" i="13"/>
  <c r="C41" i="13" s="1"/>
  <c r="N16" i="13"/>
  <c r="L16" i="13"/>
  <c r="K16" i="13"/>
  <c r="G16" i="13"/>
  <c r="E16" i="13"/>
  <c r="N15" i="13"/>
  <c r="L15" i="13"/>
  <c r="K15" i="13"/>
  <c r="D15" i="13"/>
  <c r="G15" i="13" s="1"/>
  <c r="N14" i="13"/>
  <c r="L14" i="13"/>
  <c r="K14" i="13"/>
  <c r="D14" i="13"/>
  <c r="G14" i="13" s="1"/>
  <c r="N13" i="13"/>
  <c r="L13" i="13"/>
  <c r="K13" i="13"/>
  <c r="D13" i="13"/>
  <c r="G13" i="13" s="1"/>
  <c r="N12" i="13"/>
  <c r="M12" i="13"/>
  <c r="L12" i="13"/>
  <c r="D40" i="13" s="1"/>
  <c r="K12" i="13"/>
  <c r="G12" i="13"/>
  <c r="E12" i="13"/>
  <c r="D12" i="13"/>
  <c r="N11" i="13"/>
  <c r="L11" i="13"/>
  <c r="K11" i="13"/>
  <c r="G11" i="13"/>
  <c r="E11" i="13"/>
  <c r="D11" i="13"/>
  <c r="N10" i="13"/>
  <c r="L10" i="13"/>
  <c r="K10" i="13"/>
  <c r="G10" i="13"/>
  <c r="E10" i="13"/>
  <c r="D10" i="13"/>
  <c r="N9" i="13"/>
  <c r="L9" i="13"/>
  <c r="K9" i="13"/>
  <c r="G9" i="13"/>
  <c r="E9" i="13"/>
  <c r="D9" i="13"/>
  <c r="N8" i="13"/>
  <c r="L8" i="13"/>
  <c r="K8" i="13"/>
  <c r="G8" i="13"/>
  <c r="D8" i="13"/>
  <c r="E8" i="13" s="1"/>
  <c r="N7" i="13"/>
  <c r="L7" i="13"/>
  <c r="K7" i="13"/>
  <c r="G7" i="13"/>
  <c r="E7" i="13"/>
  <c r="D7" i="13"/>
  <c r="N6" i="13"/>
  <c r="L6" i="13"/>
  <c r="K6" i="13"/>
  <c r="G6" i="13"/>
  <c r="D6" i="13"/>
  <c r="E6" i="13" s="1"/>
  <c r="L5" i="13"/>
  <c r="D5" i="13"/>
  <c r="G5" i="13" s="1"/>
  <c r="N4" i="13"/>
  <c r="M4" i="13"/>
  <c r="L4" i="13"/>
  <c r="K4" i="13"/>
  <c r="G4" i="13"/>
  <c r="D4" i="13"/>
  <c r="E4" i="13" s="1"/>
  <c r="Q3" i="13"/>
  <c r="Q4" i="13" s="1"/>
  <c r="Q5" i="13" s="1"/>
  <c r="Q6" i="13" s="1"/>
  <c r="Q7" i="13" s="1"/>
  <c r="Q8" i="13" s="1"/>
  <c r="Q9" i="13" s="1"/>
  <c r="Q10" i="13" s="1"/>
  <c r="Q11" i="13" s="1"/>
  <c r="Q12" i="13" s="1"/>
  <c r="Q13" i="13" s="1"/>
  <c r="Q14" i="13" s="1"/>
  <c r="Q15" i="13" s="1"/>
  <c r="Q16" i="13" s="1"/>
  <c r="Q17" i="13" s="1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P3" i="13"/>
  <c r="P4" i="13" s="1"/>
  <c r="P5" i="13" s="1"/>
  <c r="P6" i="13" s="1"/>
  <c r="P7" i="13" s="1"/>
  <c r="P8" i="13" s="1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P32" i="13" s="1"/>
  <c r="P33" i="13" s="1"/>
  <c r="P34" i="13" s="1"/>
  <c r="N3" i="13"/>
  <c r="N36" i="13" s="1"/>
  <c r="L3" i="13"/>
  <c r="L36" i="13" s="1"/>
  <c r="K3" i="13"/>
  <c r="K36" i="13" s="1"/>
  <c r="D3" i="13"/>
  <c r="E3" i="13" s="1"/>
  <c r="P2" i="13"/>
  <c r="G2" i="13"/>
  <c r="E2" i="13"/>
  <c r="G3" i="13" l="1"/>
  <c r="G36" i="13"/>
  <c r="M36" i="13"/>
  <c r="E5" i="13"/>
  <c r="F4" i="13" s="1"/>
  <c r="E13" i="13"/>
  <c r="F11" i="13" s="1"/>
  <c r="E14" i="13"/>
  <c r="E15" i="13"/>
  <c r="D42" i="13"/>
  <c r="L44" i="13"/>
  <c r="F19" i="13"/>
  <c r="F36" i="13" l="1"/>
  <c r="E36" i="13"/>
  <c r="C40" i="13"/>
  <c r="D5" i="10"/>
  <c r="D6" i="10" l="1"/>
  <c r="K47" i="10" l="1"/>
  <c r="K46" i="10"/>
  <c r="J44" i="10"/>
  <c r="L43" i="10"/>
  <c r="L42" i="10"/>
  <c r="L41" i="10"/>
  <c r="K41" i="10"/>
  <c r="K42" i="10" s="1"/>
  <c r="K43" i="10" s="1"/>
  <c r="L40" i="10"/>
  <c r="M40" i="10" s="1"/>
  <c r="K40" i="10"/>
  <c r="K36" i="10"/>
  <c r="H36" i="10"/>
  <c r="B36" i="10"/>
  <c r="N34" i="10"/>
  <c r="L34" i="10"/>
  <c r="K34" i="10"/>
  <c r="G34" i="10"/>
  <c r="E34" i="10"/>
  <c r="N33" i="10"/>
  <c r="L33" i="10"/>
  <c r="K33" i="10"/>
  <c r="G33" i="10"/>
  <c r="E33" i="10"/>
  <c r="N32" i="10"/>
  <c r="L32" i="10"/>
  <c r="K32" i="10"/>
  <c r="G32" i="10"/>
  <c r="E32" i="10"/>
  <c r="N31" i="10"/>
  <c r="L31" i="10"/>
  <c r="K31" i="10"/>
  <c r="G31" i="10"/>
  <c r="E31" i="10"/>
  <c r="N30" i="10"/>
  <c r="L30" i="10"/>
  <c r="K30" i="10"/>
  <c r="G30" i="10"/>
  <c r="E30" i="10"/>
  <c r="N29" i="10"/>
  <c r="L29" i="10"/>
  <c r="K29" i="10"/>
  <c r="G29" i="10"/>
  <c r="E29" i="10"/>
  <c r="N28" i="10"/>
  <c r="L28" i="10"/>
  <c r="K28" i="10"/>
  <c r="G28" i="10"/>
  <c r="E28" i="10"/>
  <c r="N27" i="10"/>
  <c r="L27" i="10"/>
  <c r="K27" i="10"/>
  <c r="G27" i="10"/>
  <c r="E27" i="10"/>
  <c r="N26" i="10"/>
  <c r="L26" i="10"/>
  <c r="K26" i="10"/>
  <c r="G26" i="10"/>
  <c r="E26" i="10"/>
  <c r="N25" i="10"/>
  <c r="L25" i="10"/>
  <c r="K25" i="10"/>
  <c r="G25" i="10"/>
  <c r="E25" i="10"/>
  <c r="N24" i="10"/>
  <c r="L24" i="10"/>
  <c r="K24" i="10"/>
  <c r="G24" i="10"/>
  <c r="E24" i="10"/>
  <c r="N23" i="10"/>
  <c r="L23" i="10"/>
  <c r="M28" i="10" s="1"/>
  <c r="K23" i="10"/>
  <c r="G23" i="10"/>
  <c r="E23" i="10"/>
  <c r="F28" i="10" s="1"/>
  <c r="N22" i="10"/>
  <c r="L22" i="10"/>
  <c r="K22" i="10"/>
  <c r="G22" i="10"/>
  <c r="E22" i="10"/>
  <c r="N21" i="10"/>
  <c r="L21" i="10"/>
  <c r="K21" i="10"/>
  <c r="G21" i="10"/>
  <c r="E21" i="10"/>
  <c r="N20" i="10"/>
  <c r="L20" i="10"/>
  <c r="K20" i="10"/>
  <c r="G20" i="10"/>
  <c r="E20" i="10"/>
  <c r="N19" i="10"/>
  <c r="L19" i="10"/>
  <c r="K19" i="10"/>
  <c r="G19" i="10"/>
  <c r="F19" i="10"/>
  <c r="E19" i="10"/>
  <c r="N18" i="10"/>
  <c r="L18" i="10"/>
  <c r="K18" i="10"/>
  <c r="G18" i="10"/>
  <c r="E18" i="10"/>
  <c r="N17" i="10"/>
  <c r="L17" i="10"/>
  <c r="M20" i="10" s="1"/>
  <c r="K17" i="10"/>
  <c r="G17" i="10"/>
  <c r="E17" i="10"/>
  <c r="C41" i="10" s="1"/>
  <c r="N16" i="10"/>
  <c r="L16" i="10"/>
  <c r="K16" i="10"/>
  <c r="G16" i="10"/>
  <c r="E16" i="10"/>
  <c r="N15" i="10"/>
  <c r="L15" i="10"/>
  <c r="K15" i="10"/>
  <c r="G15" i="10"/>
  <c r="D15" i="10"/>
  <c r="E15" i="10" s="1"/>
  <c r="N14" i="10"/>
  <c r="L14" i="10"/>
  <c r="K14" i="10"/>
  <c r="G14" i="10"/>
  <c r="D14" i="10"/>
  <c r="E14" i="10" s="1"/>
  <c r="N13" i="10"/>
  <c r="L13" i="10"/>
  <c r="K13" i="10"/>
  <c r="G13" i="10"/>
  <c r="D13" i="10"/>
  <c r="E13" i="10" s="1"/>
  <c r="N12" i="10"/>
  <c r="L12" i="10"/>
  <c r="D40" i="10" s="1"/>
  <c r="K12" i="10"/>
  <c r="E12" i="10"/>
  <c r="C40" i="10" s="1"/>
  <c r="D12" i="10"/>
  <c r="G12" i="10" s="1"/>
  <c r="N11" i="10"/>
  <c r="L11" i="10"/>
  <c r="K11" i="10"/>
  <c r="D11" i="10"/>
  <c r="E11" i="10" s="1"/>
  <c r="N10" i="10"/>
  <c r="L10" i="10"/>
  <c r="K10" i="10"/>
  <c r="D10" i="10"/>
  <c r="E10" i="10" s="1"/>
  <c r="N9" i="10"/>
  <c r="L9" i="10"/>
  <c r="K9" i="10"/>
  <c r="D9" i="10"/>
  <c r="E9" i="10" s="1"/>
  <c r="N8" i="10"/>
  <c r="L8" i="10"/>
  <c r="K8" i="10"/>
  <c r="D8" i="10"/>
  <c r="E8" i="10" s="1"/>
  <c r="N7" i="10"/>
  <c r="L7" i="10"/>
  <c r="M12" i="10" s="1"/>
  <c r="K7" i="10"/>
  <c r="D7" i="10"/>
  <c r="E7" i="10" s="1"/>
  <c r="F11" i="10" s="1"/>
  <c r="N6" i="10"/>
  <c r="L6" i="10"/>
  <c r="K6" i="10"/>
  <c r="E6" i="10"/>
  <c r="L5" i="10"/>
  <c r="G5" i="10"/>
  <c r="E5" i="10"/>
  <c r="P4" i="10"/>
  <c r="P5" i="10" s="1"/>
  <c r="P6" i="10" s="1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N4" i="10"/>
  <c r="L4" i="10"/>
  <c r="K4" i="10"/>
  <c r="E4" i="10"/>
  <c r="Q3" i="10"/>
  <c r="Q4" i="10" s="1"/>
  <c r="Q5" i="10" s="1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P3" i="10"/>
  <c r="N3" i="10"/>
  <c r="N36" i="10" s="1"/>
  <c r="L3" i="10"/>
  <c r="L36" i="10" s="1"/>
  <c r="K3" i="10"/>
  <c r="E3" i="10"/>
  <c r="P2" i="10"/>
  <c r="G2" i="10"/>
  <c r="E2" i="10"/>
  <c r="M41" i="10" l="1"/>
  <c r="M42" i="10" s="1"/>
  <c r="M43" i="10" s="1"/>
  <c r="E36" i="10"/>
  <c r="F4" i="10"/>
  <c r="F36" i="10" s="1"/>
  <c r="D41" i="10"/>
  <c r="C42" i="10"/>
  <c r="G3" i="10"/>
  <c r="M4" i="10"/>
  <c r="M36" i="10" s="1"/>
  <c r="G6" i="10"/>
  <c r="G7" i="10"/>
  <c r="G8" i="10"/>
  <c r="G9" i="10"/>
  <c r="G10" i="10"/>
  <c r="G4" i="10"/>
  <c r="G11" i="10"/>
  <c r="D42" i="10"/>
  <c r="L44" i="10"/>
  <c r="D5" i="9"/>
  <c r="G36" i="10" l="1"/>
  <c r="K47" i="9"/>
  <c r="K46" i="9"/>
  <c r="J44" i="9"/>
  <c r="L43" i="9"/>
  <c r="L42" i="9"/>
  <c r="L41" i="9"/>
  <c r="M40" i="9"/>
  <c r="M41" i="9" s="1"/>
  <c r="M42" i="9" s="1"/>
  <c r="M43" i="9" s="1"/>
  <c r="L40" i="9"/>
  <c r="L44" i="9" s="1"/>
  <c r="K40" i="9"/>
  <c r="K41" i="9" s="1"/>
  <c r="K42" i="9" s="1"/>
  <c r="K43" i="9" s="1"/>
  <c r="H36" i="9"/>
  <c r="B36" i="9"/>
  <c r="N34" i="9"/>
  <c r="L34" i="9"/>
  <c r="K34" i="9"/>
  <c r="G34" i="9"/>
  <c r="E34" i="9"/>
  <c r="N33" i="9"/>
  <c r="L33" i="9"/>
  <c r="K33" i="9"/>
  <c r="G33" i="9"/>
  <c r="E33" i="9"/>
  <c r="N32" i="9"/>
  <c r="L32" i="9"/>
  <c r="K32" i="9"/>
  <c r="G32" i="9"/>
  <c r="E32" i="9"/>
  <c r="N31" i="9"/>
  <c r="L31" i="9"/>
  <c r="K31" i="9"/>
  <c r="G31" i="9"/>
  <c r="E31" i="9"/>
  <c r="N30" i="9"/>
  <c r="L30" i="9"/>
  <c r="K30" i="9"/>
  <c r="G30" i="9"/>
  <c r="E30" i="9"/>
  <c r="N29" i="9"/>
  <c r="L29" i="9"/>
  <c r="K29" i="9"/>
  <c r="G29" i="9"/>
  <c r="E29" i="9"/>
  <c r="N28" i="9"/>
  <c r="L28" i="9"/>
  <c r="K28" i="9"/>
  <c r="G28" i="9"/>
  <c r="E28" i="9"/>
  <c r="N27" i="9"/>
  <c r="L27" i="9"/>
  <c r="K27" i="9"/>
  <c r="G27" i="9"/>
  <c r="E27" i="9"/>
  <c r="N26" i="9"/>
  <c r="L26" i="9"/>
  <c r="K26" i="9"/>
  <c r="G26" i="9"/>
  <c r="E26" i="9"/>
  <c r="N25" i="9"/>
  <c r="L25" i="9"/>
  <c r="K25" i="9"/>
  <c r="G25" i="9"/>
  <c r="E25" i="9"/>
  <c r="N24" i="9"/>
  <c r="L24" i="9"/>
  <c r="K24" i="9"/>
  <c r="G24" i="9"/>
  <c r="E24" i="9"/>
  <c r="C42" i="9" s="1"/>
  <c r="N23" i="9"/>
  <c r="L23" i="9"/>
  <c r="M28" i="9" s="1"/>
  <c r="K23" i="9"/>
  <c r="G23" i="9"/>
  <c r="E23" i="9"/>
  <c r="F28" i="9" s="1"/>
  <c r="N22" i="9"/>
  <c r="L22" i="9"/>
  <c r="K22" i="9"/>
  <c r="G22" i="9"/>
  <c r="E22" i="9"/>
  <c r="N21" i="9"/>
  <c r="L21" i="9"/>
  <c r="K21" i="9"/>
  <c r="G21" i="9"/>
  <c r="E21" i="9"/>
  <c r="N20" i="9"/>
  <c r="L20" i="9"/>
  <c r="K20" i="9"/>
  <c r="G20" i="9"/>
  <c r="E20" i="9"/>
  <c r="N19" i="9"/>
  <c r="L19" i="9"/>
  <c r="K19" i="9"/>
  <c r="G19" i="9"/>
  <c r="E19" i="9"/>
  <c r="N18" i="9"/>
  <c r="L18" i="9"/>
  <c r="K18" i="9"/>
  <c r="G18" i="9"/>
  <c r="E18" i="9"/>
  <c r="F19" i="9" s="1"/>
  <c r="N17" i="9"/>
  <c r="L17" i="9"/>
  <c r="M20" i="9" s="1"/>
  <c r="K17" i="9"/>
  <c r="G17" i="9"/>
  <c r="E17" i="9"/>
  <c r="C41" i="9" s="1"/>
  <c r="N16" i="9"/>
  <c r="L16" i="9"/>
  <c r="K16" i="9"/>
  <c r="G16" i="9"/>
  <c r="E16" i="9"/>
  <c r="N15" i="9"/>
  <c r="L15" i="9"/>
  <c r="K15" i="9"/>
  <c r="D15" i="9"/>
  <c r="G15" i="9" s="1"/>
  <c r="N14" i="9"/>
  <c r="L14" i="9"/>
  <c r="K14" i="9"/>
  <c r="G14" i="9"/>
  <c r="D14" i="9"/>
  <c r="E14" i="9" s="1"/>
  <c r="N13" i="9"/>
  <c r="L13" i="9"/>
  <c r="K13" i="9"/>
  <c r="D13" i="9"/>
  <c r="G13" i="9" s="1"/>
  <c r="N12" i="9"/>
  <c r="L12" i="9"/>
  <c r="D40" i="9" s="1"/>
  <c r="K12" i="9"/>
  <c r="E12" i="9"/>
  <c r="D12" i="9"/>
  <c r="G12" i="9" s="1"/>
  <c r="N11" i="9"/>
  <c r="L11" i="9"/>
  <c r="K11" i="9"/>
  <c r="D11" i="9"/>
  <c r="E11" i="9" s="1"/>
  <c r="N10" i="9"/>
  <c r="L10" i="9"/>
  <c r="K10" i="9"/>
  <c r="G10" i="9"/>
  <c r="D10" i="9"/>
  <c r="E10" i="9" s="1"/>
  <c r="N9" i="9"/>
  <c r="L9" i="9"/>
  <c r="K9" i="9"/>
  <c r="G9" i="9"/>
  <c r="D9" i="9"/>
  <c r="E9" i="9" s="1"/>
  <c r="N8" i="9"/>
  <c r="L8" i="9"/>
  <c r="K8" i="9"/>
  <c r="D8" i="9"/>
  <c r="E8" i="9" s="1"/>
  <c r="N7" i="9"/>
  <c r="L7" i="9"/>
  <c r="M12" i="9" s="1"/>
  <c r="K7" i="9"/>
  <c r="D7" i="9"/>
  <c r="E7" i="9" s="1"/>
  <c r="N6" i="9"/>
  <c r="L6" i="9"/>
  <c r="K6" i="9"/>
  <c r="D6" i="9"/>
  <c r="E6" i="9" s="1"/>
  <c r="L5" i="9"/>
  <c r="G5" i="9"/>
  <c r="E5" i="9"/>
  <c r="Q4" i="9"/>
  <c r="Q5" i="9" s="1"/>
  <c r="Q6" i="9" s="1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N4" i="9"/>
  <c r="L4" i="9"/>
  <c r="K4" i="9"/>
  <c r="K36" i="9" s="1"/>
  <c r="D4" i="9"/>
  <c r="E4" i="9" s="1"/>
  <c r="Q3" i="9"/>
  <c r="P3" i="9"/>
  <c r="P4" i="9" s="1"/>
  <c r="P5" i="9" s="1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N3" i="9"/>
  <c r="N36" i="9" s="1"/>
  <c r="L3" i="9"/>
  <c r="L36" i="9" s="1"/>
  <c r="K3" i="9"/>
  <c r="D3" i="9"/>
  <c r="E3" i="9" s="1"/>
  <c r="P2" i="9"/>
  <c r="E2" i="9"/>
  <c r="F4" i="9" l="1"/>
  <c r="G2" i="9"/>
  <c r="G3" i="9"/>
  <c r="M4" i="9"/>
  <c r="M36" i="9" s="1"/>
  <c r="G6" i="9"/>
  <c r="G7" i="9"/>
  <c r="G8" i="9"/>
  <c r="D41" i="9"/>
  <c r="G4" i="9"/>
  <c r="G11" i="9"/>
  <c r="E13" i="9"/>
  <c r="C40" i="9" s="1"/>
  <c r="E15" i="9"/>
  <c r="D42" i="9"/>
  <c r="Q3" i="8"/>
  <c r="Q4" i="8" s="1"/>
  <c r="Q5" i="8" s="1"/>
  <c r="Q6" i="8" s="1"/>
  <c r="Q7" i="8" s="1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P2" i="8"/>
  <c r="P3" i="8" s="1"/>
  <c r="P4" i="8" s="1"/>
  <c r="P5" i="8" s="1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E36" i="9" l="1"/>
  <c r="F11" i="9"/>
  <c r="F36" i="9" s="1"/>
  <c r="G36" i="9"/>
  <c r="K46" i="8"/>
  <c r="L43" i="8" l="1"/>
  <c r="L42" i="8"/>
  <c r="L41" i="8"/>
  <c r="K40" i="8"/>
  <c r="K41" i="8" s="1"/>
  <c r="K42" i="8" s="1"/>
  <c r="K43" i="8" s="1"/>
  <c r="J44" i="8"/>
  <c r="L40" i="8"/>
  <c r="M40" i="8" s="1"/>
  <c r="M41" i="8" l="1"/>
  <c r="M42" i="8" s="1"/>
  <c r="M43" i="8" s="1"/>
  <c r="L44" i="8"/>
  <c r="K47" i="8"/>
  <c r="H36" i="8"/>
  <c r="B36" i="8"/>
  <c r="N34" i="8"/>
  <c r="L34" i="8"/>
  <c r="K34" i="8"/>
  <c r="G34" i="8"/>
  <c r="E34" i="8"/>
  <c r="N33" i="8"/>
  <c r="L33" i="8"/>
  <c r="K33" i="8"/>
  <c r="G33" i="8"/>
  <c r="E33" i="8"/>
  <c r="N32" i="8"/>
  <c r="L32" i="8"/>
  <c r="K32" i="8"/>
  <c r="G32" i="8"/>
  <c r="E32" i="8"/>
  <c r="N31" i="8"/>
  <c r="L31" i="8"/>
  <c r="K31" i="8"/>
  <c r="G31" i="8"/>
  <c r="E31" i="8"/>
  <c r="N30" i="8"/>
  <c r="L30" i="8"/>
  <c r="K30" i="8"/>
  <c r="G30" i="8"/>
  <c r="E30" i="8"/>
  <c r="N29" i="8"/>
  <c r="L29" i="8"/>
  <c r="K29" i="8"/>
  <c r="G29" i="8"/>
  <c r="E29" i="8"/>
  <c r="N28" i="8"/>
  <c r="L28" i="8"/>
  <c r="K28" i="8"/>
  <c r="G28" i="8"/>
  <c r="E28" i="8"/>
  <c r="N27" i="8"/>
  <c r="L27" i="8"/>
  <c r="K27" i="8"/>
  <c r="G27" i="8"/>
  <c r="E27" i="8"/>
  <c r="N26" i="8"/>
  <c r="L26" i="8"/>
  <c r="K26" i="8"/>
  <c r="G26" i="8"/>
  <c r="E26" i="8"/>
  <c r="N25" i="8"/>
  <c r="L25" i="8"/>
  <c r="K25" i="8"/>
  <c r="G25" i="8"/>
  <c r="E25" i="8"/>
  <c r="N24" i="8"/>
  <c r="L24" i="8"/>
  <c r="K24" i="8"/>
  <c r="G24" i="8"/>
  <c r="E24" i="8"/>
  <c r="N23" i="8"/>
  <c r="L23" i="8"/>
  <c r="K23" i="8"/>
  <c r="G23" i="8"/>
  <c r="E23" i="8"/>
  <c r="N22" i="8"/>
  <c r="L22" i="8"/>
  <c r="K22" i="8"/>
  <c r="G22" i="8"/>
  <c r="E22" i="8"/>
  <c r="N21" i="8"/>
  <c r="L21" i="8"/>
  <c r="K21" i="8"/>
  <c r="G21" i="8"/>
  <c r="E21" i="8"/>
  <c r="N20" i="8"/>
  <c r="L20" i="8"/>
  <c r="K20" i="8"/>
  <c r="G20" i="8"/>
  <c r="E20" i="8"/>
  <c r="N19" i="8"/>
  <c r="L19" i="8"/>
  <c r="K19" i="8"/>
  <c r="G19" i="8"/>
  <c r="E19" i="8"/>
  <c r="N18" i="8"/>
  <c r="L18" i="8"/>
  <c r="K18" i="8"/>
  <c r="G18" i="8"/>
  <c r="E18" i="8"/>
  <c r="N17" i="8"/>
  <c r="L17" i="8"/>
  <c r="K17" i="8"/>
  <c r="G17" i="8"/>
  <c r="E17" i="8"/>
  <c r="N16" i="8"/>
  <c r="L16" i="8"/>
  <c r="K16" i="8"/>
  <c r="G16" i="8"/>
  <c r="E16" i="8"/>
  <c r="N15" i="8"/>
  <c r="L15" i="8"/>
  <c r="K15" i="8"/>
  <c r="D15" i="8"/>
  <c r="G15" i="8" s="1"/>
  <c r="N14" i="8"/>
  <c r="L14" i="8"/>
  <c r="K14" i="8"/>
  <c r="G14" i="8"/>
  <c r="D14" i="8"/>
  <c r="E14" i="8" s="1"/>
  <c r="N13" i="8"/>
  <c r="L13" i="8"/>
  <c r="K13" i="8"/>
  <c r="D13" i="8"/>
  <c r="G13" i="8" s="1"/>
  <c r="N12" i="8"/>
  <c r="L12" i="8"/>
  <c r="K12" i="8"/>
  <c r="D12" i="8"/>
  <c r="G12" i="8" s="1"/>
  <c r="N11" i="8"/>
  <c r="L11" i="8"/>
  <c r="K11" i="8"/>
  <c r="G11" i="8"/>
  <c r="D11" i="8"/>
  <c r="E11" i="8" s="1"/>
  <c r="N10" i="8"/>
  <c r="L10" i="8"/>
  <c r="K10" i="8"/>
  <c r="D10" i="8"/>
  <c r="E10" i="8" s="1"/>
  <c r="N9" i="8"/>
  <c r="L9" i="8"/>
  <c r="K9" i="8"/>
  <c r="D9" i="8"/>
  <c r="E9" i="8" s="1"/>
  <c r="N8" i="8"/>
  <c r="L8" i="8"/>
  <c r="K8" i="8"/>
  <c r="D8" i="8"/>
  <c r="E8" i="8" s="1"/>
  <c r="N7" i="8"/>
  <c r="L7" i="8"/>
  <c r="K7" i="8"/>
  <c r="D7" i="8"/>
  <c r="E7" i="8" s="1"/>
  <c r="N6" i="8"/>
  <c r="L6" i="8"/>
  <c r="K6" i="8"/>
  <c r="D6" i="8"/>
  <c r="E6" i="8" s="1"/>
  <c r="L5" i="8"/>
  <c r="D5" i="8"/>
  <c r="E5" i="8" s="1"/>
  <c r="N4" i="8"/>
  <c r="L4" i="8"/>
  <c r="K4" i="8"/>
  <c r="D4" i="8"/>
  <c r="G4" i="8" s="1"/>
  <c r="N3" i="8"/>
  <c r="L3" i="8"/>
  <c r="K3" i="8"/>
  <c r="D3" i="8"/>
  <c r="E3" i="8" s="1"/>
  <c r="G2" i="8"/>
  <c r="D2" i="8"/>
  <c r="E2" i="8" s="1"/>
  <c r="M20" i="8" l="1"/>
  <c r="D41" i="8"/>
  <c r="D40" i="8"/>
  <c r="D42" i="8"/>
  <c r="C41" i="8"/>
  <c r="K36" i="8"/>
  <c r="L36" i="8"/>
  <c r="C42" i="8"/>
  <c r="G7" i="8"/>
  <c r="G3" i="8"/>
  <c r="G9" i="8"/>
  <c r="N36" i="8"/>
  <c r="M12" i="8"/>
  <c r="M28" i="8"/>
  <c r="F28" i="8"/>
  <c r="E13" i="8"/>
  <c r="E15" i="8"/>
  <c r="G5" i="8"/>
  <c r="G6" i="8"/>
  <c r="G8" i="8"/>
  <c r="G10" i="8"/>
  <c r="E12" i="8"/>
  <c r="F19" i="8"/>
  <c r="E4" i="8"/>
  <c r="F4" i="8" s="1"/>
  <c r="M4" i="8"/>
  <c r="C40" i="8" l="1"/>
  <c r="M36" i="8"/>
  <c r="G36" i="8"/>
  <c r="E36" i="8"/>
  <c r="F11" i="8"/>
  <c r="F36" i="8" s="1"/>
  <c r="H40" i="7"/>
  <c r="H39" i="7"/>
  <c r="H38" i="7"/>
  <c r="H36" i="7" l="1"/>
  <c r="B36" i="7"/>
  <c r="N34" i="7"/>
  <c r="L34" i="7"/>
  <c r="K34" i="7"/>
  <c r="G34" i="7"/>
  <c r="E34" i="7"/>
  <c r="N33" i="7"/>
  <c r="L33" i="7"/>
  <c r="K33" i="7"/>
  <c r="G33" i="7"/>
  <c r="E33" i="7"/>
  <c r="N32" i="7"/>
  <c r="L32" i="7"/>
  <c r="K32" i="7"/>
  <c r="G32" i="7"/>
  <c r="E32" i="7"/>
  <c r="N31" i="7"/>
  <c r="L31" i="7"/>
  <c r="K31" i="7"/>
  <c r="G31" i="7"/>
  <c r="E31" i="7"/>
  <c r="N30" i="7"/>
  <c r="L30" i="7"/>
  <c r="K30" i="7"/>
  <c r="G30" i="7"/>
  <c r="E30" i="7"/>
  <c r="N29" i="7"/>
  <c r="L29" i="7"/>
  <c r="K29" i="7"/>
  <c r="G29" i="7"/>
  <c r="E29" i="7"/>
  <c r="N28" i="7"/>
  <c r="L28" i="7"/>
  <c r="K28" i="7"/>
  <c r="G28" i="7"/>
  <c r="E28" i="7"/>
  <c r="N27" i="7"/>
  <c r="L27" i="7"/>
  <c r="K27" i="7"/>
  <c r="G27" i="7"/>
  <c r="E27" i="7"/>
  <c r="N26" i="7"/>
  <c r="L26" i="7"/>
  <c r="K26" i="7"/>
  <c r="G26" i="7"/>
  <c r="E26" i="7"/>
  <c r="N25" i="7"/>
  <c r="L25" i="7"/>
  <c r="K25" i="7"/>
  <c r="G25" i="7"/>
  <c r="E25" i="7"/>
  <c r="N24" i="7"/>
  <c r="L24" i="7"/>
  <c r="K24" i="7"/>
  <c r="G24" i="7"/>
  <c r="E24" i="7"/>
  <c r="F28" i="7" s="1"/>
  <c r="N23" i="7"/>
  <c r="L23" i="7"/>
  <c r="K23" i="7"/>
  <c r="G23" i="7"/>
  <c r="E23" i="7"/>
  <c r="N22" i="7"/>
  <c r="L22" i="7"/>
  <c r="K22" i="7"/>
  <c r="G22" i="7"/>
  <c r="E22" i="7"/>
  <c r="N21" i="7"/>
  <c r="L21" i="7"/>
  <c r="K21" i="7"/>
  <c r="G21" i="7"/>
  <c r="E21" i="7"/>
  <c r="N20" i="7"/>
  <c r="L20" i="7"/>
  <c r="K20" i="7"/>
  <c r="G20" i="7"/>
  <c r="E20" i="7"/>
  <c r="N19" i="7"/>
  <c r="L19" i="7"/>
  <c r="K19" i="7"/>
  <c r="G19" i="7"/>
  <c r="E19" i="7"/>
  <c r="N18" i="7"/>
  <c r="L18" i="7"/>
  <c r="K18" i="7"/>
  <c r="G18" i="7"/>
  <c r="E18" i="7"/>
  <c r="N17" i="7"/>
  <c r="L17" i="7"/>
  <c r="K17" i="7"/>
  <c r="G17" i="7"/>
  <c r="E17" i="7"/>
  <c r="N16" i="7"/>
  <c r="L16" i="7"/>
  <c r="K16" i="7"/>
  <c r="G16" i="7"/>
  <c r="E16" i="7"/>
  <c r="N15" i="7"/>
  <c r="L15" i="7"/>
  <c r="K15" i="7"/>
  <c r="E15" i="7"/>
  <c r="D15" i="7"/>
  <c r="G15" i="7" s="1"/>
  <c r="N14" i="7"/>
  <c r="L14" i="7"/>
  <c r="K14" i="7"/>
  <c r="E14" i="7"/>
  <c r="D14" i="7"/>
  <c r="G14" i="7" s="1"/>
  <c r="N13" i="7"/>
  <c r="L13" i="7"/>
  <c r="K13" i="7"/>
  <c r="D13" i="7"/>
  <c r="G13" i="7" s="1"/>
  <c r="N12" i="7"/>
  <c r="L12" i="7"/>
  <c r="K12" i="7"/>
  <c r="G12" i="7"/>
  <c r="D12" i="7"/>
  <c r="E12" i="7" s="1"/>
  <c r="N11" i="7"/>
  <c r="L11" i="7"/>
  <c r="K11" i="7"/>
  <c r="D11" i="7"/>
  <c r="G11" i="7" s="1"/>
  <c r="N10" i="7"/>
  <c r="L10" i="7"/>
  <c r="K10" i="7"/>
  <c r="D10" i="7"/>
  <c r="E10" i="7" s="1"/>
  <c r="N9" i="7"/>
  <c r="L9" i="7"/>
  <c r="K9" i="7"/>
  <c r="G9" i="7"/>
  <c r="D9" i="7"/>
  <c r="E9" i="7" s="1"/>
  <c r="N8" i="7"/>
  <c r="L8" i="7"/>
  <c r="K8" i="7"/>
  <c r="D8" i="7"/>
  <c r="E8" i="7" s="1"/>
  <c r="N7" i="7"/>
  <c r="L7" i="7"/>
  <c r="K7" i="7"/>
  <c r="D7" i="7"/>
  <c r="E7" i="7" s="1"/>
  <c r="N6" i="7"/>
  <c r="L6" i="7"/>
  <c r="K6" i="7"/>
  <c r="D6" i="7"/>
  <c r="E6" i="7" s="1"/>
  <c r="L5" i="7"/>
  <c r="D5" i="7"/>
  <c r="E5" i="7" s="1"/>
  <c r="N4" i="7"/>
  <c r="L4" i="7"/>
  <c r="K4" i="7"/>
  <c r="D4" i="7"/>
  <c r="G4" i="7" s="1"/>
  <c r="N3" i="7"/>
  <c r="L3" i="7"/>
  <c r="K3" i="7"/>
  <c r="E3" i="7"/>
  <c r="D3" i="7"/>
  <c r="G3" i="7" s="1"/>
  <c r="D2" i="7"/>
  <c r="E2" i="7" s="1"/>
  <c r="K36" i="7" l="1"/>
  <c r="E4" i="7"/>
  <c r="G7" i="7"/>
  <c r="E13" i="7"/>
  <c r="F19" i="7"/>
  <c r="L36" i="7"/>
  <c r="N36" i="7"/>
  <c r="F11" i="7"/>
  <c r="E36" i="7"/>
  <c r="F4" i="7"/>
  <c r="E11" i="7"/>
  <c r="G10" i="7"/>
  <c r="G2" i="7"/>
  <c r="G5" i="7"/>
  <c r="G6" i="7"/>
  <c r="G8" i="7"/>
  <c r="G36" i="7" l="1"/>
</calcChain>
</file>

<file path=xl/comments1.xml><?xml version="1.0" encoding="utf-8"?>
<comments xmlns="http://schemas.openxmlformats.org/spreadsheetml/2006/main">
  <authors>
    <author>Valentine Prigarin</author>
    <author>Valentine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Сначала почти такой же график был сброшен 6/5-15 под названием "Официальное количество USAF". Потом под теперичым названием 23/6-15.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См. миллиметровку "Боевые вылеты" по t.
1-я смена дана врозбивку, т.к. по ней есть такие данные. Остальные смены даны не по месяцам (потому что помесячных данных нет) а по осреднённым данным, по имеющимся точно известным "реперам".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Здесь</t>
        </r>
        <r>
          <rPr>
            <b/>
            <u/>
            <sz val="9"/>
            <color indexed="10"/>
            <rFont val="Tahoma"/>
            <family val="2"/>
          </rPr>
          <t xml:space="preserve"> для 1-ой смены</t>
        </r>
        <r>
          <rPr>
            <b/>
            <sz val="9"/>
            <color indexed="81"/>
            <rFont val="Tahoma"/>
            <family val="2"/>
          </rPr>
          <t xml:space="preserve"> использованы фактические данные Набоки и КиТ и учтён не "потенциал", который дан в варианте 2 (см. на следующей странице), а ввод полков "по факту".
</t>
        </r>
        <r>
          <rPr>
            <b/>
            <sz val="10"/>
            <color indexed="81"/>
            <rFont val="Tahoma"/>
            <family val="2"/>
          </rPr>
          <t xml:space="preserve">См. также рисунки "Дислокация". При этом нужно учесть, что : 
- 1-я смена действовала вначале с аэродромов Аэроузла, потом только с Первой линии.
- 2-я смена действтвала только с аэродромов Первой линии (Плацдарма). 
- 3-я смена действтвала со всех аэродромов обеих линий.
- 4-я смена действовала со всех аэродромов обеих линий.
</t>
        </r>
        <r>
          <rPr>
            <b/>
            <sz val="9"/>
            <color indexed="81"/>
            <rFont val="Tahoma"/>
            <family val="2"/>
          </rPr>
          <t xml:space="preserve">
Все составы даны по штатам "15/39" для полков и "15/38" для дивизий.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См. миллиметровку "Процент пилотов, допущенных к БВ от штата", основанную на документах постепенного снижения боеспособности не примерах 324-ой и 303-ей ИАД. Этот график сброшен 25/5-13. 
При «стандартной» помесячной утрате боеспособности (а «стандарт» брался по 324-ой и 303-ей ИАД) по графику на миллиметровке : 
- </t>
        </r>
        <r>
          <rPr>
            <b/>
            <sz val="9"/>
            <color indexed="10"/>
            <rFont val="Tahoma"/>
            <family val="2"/>
          </rPr>
          <t>в середине</t>
        </r>
        <r>
          <rPr>
            <b/>
            <sz val="9"/>
            <color indexed="81"/>
            <rFont val="Tahoma"/>
            <family val="2"/>
          </rPr>
          <t xml:space="preserve">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 (может только в паре отдельных дат). Но и, судя по точным данным 17 иап, и не поднимался. 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Примечание</t>
        </r>
        <r>
          <rPr>
            <b/>
            <sz val="10"/>
            <color indexed="81"/>
            <rFont val="Tahoma"/>
            <family val="2"/>
          </rPr>
          <t xml:space="preserve"> : 
Необходимо учесть, что 50-я ИАД никаких пополнений не получала. Расчётный помесячный сброс боеспособности примерно 10%.
Кроме того, надо учесть очень быструю утрату боеспособности 29 гвиап этой дивизии </t>
        </r>
        <r>
          <rPr>
            <b/>
            <u/>
            <sz val="10"/>
            <color indexed="81"/>
            <rFont val="Tahoma"/>
            <family val="2"/>
          </rPr>
          <t>сразу же</t>
        </r>
        <r>
          <rPr>
            <b/>
            <sz val="10"/>
            <color indexed="81"/>
            <rFont val="Tahoma"/>
            <family val="2"/>
          </rPr>
          <t xml:space="preserve"> после ввода в боевые действия. Что, возможно, объясняется многомесячным пребыванием этого полка в командировке в Китае без отпусков для лётного состава.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 xml:space="preserve">Airborne sorties by month, by type model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Average crews possessed in committed units, by type model, by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Average crews combat ready in commited units. FY-1953, PDF-</t>
        </r>
        <r>
          <rPr>
            <b/>
            <sz val="9"/>
            <color indexed="10"/>
            <rFont val="Tahoma"/>
            <family val="2"/>
          </rPr>
          <t>59</t>
        </r>
        <r>
          <rPr>
            <b/>
            <sz val="9"/>
            <color indexed="81"/>
            <rFont val="Tahoma"/>
            <family val="2"/>
          </rPr>
          <t>, стр.35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 xml:space="preserve">Отчёт за 1953 FY, стр.32 (PDF стр.56) :
</t>
        </r>
        <r>
          <rPr>
            <b/>
            <sz val="9"/>
            <color indexed="12"/>
            <rFont val="Tahoma"/>
            <family val="2"/>
          </rPr>
          <t xml:space="preserve">http://www.afhso.af.mil/usafstatistics/index.asp   
</t>
        </r>
        <r>
          <rPr>
            <b/>
            <sz val="9"/>
            <color indexed="81"/>
            <rFont val="Tahoma"/>
            <family val="2"/>
          </rPr>
          <t xml:space="preserve">Cреднее за месяц наличное количество самолётов в действующих частях с 1-го ноября 1950 по 27 июЛя 1953 по типам. 
</t>
        </r>
        <r>
          <rPr>
            <b/>
            <sz val="9"/>
            <color indexed="12"/>
            <rFont val="Tahoma"/>
            <family val="2"/>
          </rPr>
          <t>F-86</t>
        </r>
        <r>
          <rPr>
            <b/>
            <sz val="9"/>
            <color indexed="81"/>
            <rFont val="Tahoma"/>
            <family val="2"/>
          </rPr>
          <t xml:space="preserve">, TABLE 13 - AVERAGE AIRCRAFT POSSESSED IN COMMITTED UNITS BY TYPE MODEL BY MONTH - 26 JUNE 1950 THROUGH 27 JULY 1953. 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"Советские асы в небе Кореи", стр.339.
Это были 28-я и 151-я дивизии.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Все боевые вылеты они проводили со 2-й линии.</t>
        </r>
      </text>
    </comment>
    <comment ref="C2" authorId="1" shapeId="0">
      <text>
        <r>
          <rPr>
            <b/>
            <sz val="9"/>
            <color indexed="81"/>
            <rFont val="Tahoma"/>
            <charset val="1"/>
          </rPr>
          <t xml:space="preserve">По настоянию Док_М-а от 3/12-15 предыдущая цифра 114 изменена на формальную штатную 136.
</t>
        </r>
        <r>
          <rPr>
            <b/>
            <sz val="9"/>
            <color indexed="60"/>
            <rFont val="Tahoma"/>
            <family val="2"/>
          </rPr>
          <t xml:space="preserve">&gt;&gt; Док_М, 3/12-15 : ..."штатных" 138 никогда и не было, т.к. дивизии получились "делением" 151-й. Но "штат" есть штат, а посему должна стоять именно такая цифра.
</t>
        </r>
        <r>
          <rPr>
            <b/>
            <sz val="9"/>
            <color indexed="81"/>
            <rFont val="Tahoma"/>
            <family val="2"/>
          </rPr>
          <t xml:space="preserve">
Только не 138, а 136. ...Хорошо. Изменил.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28-я и 151 дивизии действовали с АД Мукденского аэроузла.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0,6-0,58
И ниже в дивизиях Второй смены он не опускался. Но и, судя по точным данным 17 иап, и не поднимался. 
</t>
        </r>
        <r>
          <rPr>
            <b/>
            <sz val="11"/>
            <color indexed="10"/>
            <rFont val="Tahoma"/>
            <family val="2"/>
          </rPr>
          <t xml:space="preserve">30/10-15 по фактическим данным Набоки вносится поправка !
</t>
        </r>
        <r>
          <rPr>
            <b/>
            <sz val="9"/>
            <color indexed="60"/>
            <rFont val="Tahoma"/>
            <family val="2"/>
          </rPr>
          <t xml:space="preserve">&gt;&gt; Vitali Acote, 26/6-15 : Я смотрю у вас большие проблемы не только с пониманием русского языка, но и но и совестью. Может действительно обратимся к модераторам форума?...
Когда читаешь эти цифры, душа просто преисполняется трепетом... Это ж надо в ноябре и декабре 1950 года дать «% Боеготовых пилотов (экипажей) МиГов - 0,98». И это при том, что 67 иап вообще имел на начало боевых действий всего 21-го лётчика, о чём я написал в этой ветке ещё 08.01.2012 ("62" стр. темы), но ещё раньше - 21.12.2011, на стр."60" я привёл цитату из «Журнала боевых действий 151 ГИАД» о количественном составе 151-й и 28-й дивизий на 19 ноября: «Боевой состав 151 ИАД: 56 экипажей..., 28 ИАД – 43 экипажа 
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Т.е. 99 боеспособных пилота на 19 ноября 1950-го в обеих ИАД. 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60"/>
            <rFont val="Tahoma"/>
            <family val="2"/>
          </rPr>
          <t>&gt;&gt;Vitali Acote, 1/1-12 : ...Сколько конкретно самолетов МиГ-15 было в составе 151 ГИАД в июле 1950 года я не знаю. Думаю, что порядка 120 штук – три полка по 40 истребителей. Дальше уже эти самолеты были разделены между шестью полками (по 30 штук в каждом по штату). В Журнале боевых действий 151 ГИАД первое упоминание о количественном составе приходится на 19 ноября: «Боевой состав 151 ИАД: 56 экипажей, ...., 28 ИАД – 43 экипажа," ..... Здесь, насколько я понимаю, речь идет о боеготовых экипажах и самолетах.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Т.е. 99 боеспособных пилота на 19 ноября 1950-го в обеих ИАД. Но позже Набока добавляет :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60"/>
            <rFont val="Tahoma"/>
            <family val="2"/>
          </rPr>
          <t>&gt;&gt; Vitali Acote, 11/8-15 : ....D2 «Количество боеспособных пилотов» в ноябре 1950 года: 112 в таблице и 100 в реальности ....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
Тогда уже не 99, а 100 боеспособных пилотов в ноябре 1950-го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</rPr>
          <t>Здесь дата дана по каноническим материалам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"Советские асы в небе Кореи", стр.339.
50-я дивизия
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>Эта цифра не совпадает со штатным расписанием.
Исправлено с 64 на 50 - с учётом на полмесяца более позднего начала работы 177 иап. Т.е.</t>
        </r>
        <r>
          <rPr>
            <b/>
            <u/>
            <sz val="9"/>
            <color indexed="81"/>
            <rFont val="Tahoma"/>
            <family val="2"/>
          </rPr>
          <t xml:space="preserve"> 50-я ИАД</t>
        </r>
        <r>
          <rPr>
            <b/>
            <sz val="9"/>
            <color indexed="81"/>
            <rFont val="Tahoma"/>
            <family val="2"/>
          </rPr>
          <t xml:space="preserve"> начинала с 32 штатных одного полка, а в середине декабря к ним присоеденились 32 штатных пилотов другого полка и 4 штатных из звена управления дивизии. А считается это так : 
[(32*15)+(68*15] / 30 дней = 50 штатных пилотов. 
...Хотя на ТВД в составе 50-ой дивизии было : 
</t>
        </r>
        <r>
          <rPr>
            <b/>
            <sz val="9"/>
            <color indexed="60"/>
            <rFont val="Tahoma"/>
            <family val="2"/>
          </rPr>
          <t xml:space="preserve">
&gt;&gt;Vitali Acote, 21/12-11 : В том же Журнале боевых действий 151 ГИАД отмечается, что 30 ноября 1950 года 151-я, 28-я и</t>
        </r>
        <r>
          <rPr>
            <b/>
            <u/>
            <sz val="9"/>
            <color indexed="60"/>
            <rFont val="Tahoma"/>
            <family val="2"/>
          </rPr>
          <t xml:space="preserve"> 50-я дивизии </t>
        </r>
        <r>
          <rPr>
            <b/>
            <sz val="9"/>
            <color indexed="60"/>
            <rFont val="Tahoma"/>
            <family val="2"/>
          </rPr>
          <t xml:space="preserve">имели соответственно 55, 44 и </t>
        </r>
        <r>
          <rPr>
            <b/>
            <u/>
            <sz val="9"/>
            <color indexed="60"/>
            <rFont val="Tahoma"/>
            <family val="2"/>
          </rPr>
          <t>60 экипажей.</t>
        </r>
        <r>
          <rPr>
            <b/>
            <sz val="9"/>
            <color indexed="60"/>
            <rFont val="Tahoma"/>
            <family val="2"/>
          </rPr>
          <t xml:space="preserve"> </t>
        </r>
      </text>
    </comment>
    <comment ref="D3" authorId="0" shapeId="0">
      <text>
        <r>
          <rPr>
            <b/>
            <sz val="11"/>
            <color theme="1"/>
            <rFont val="Calibri"/>
            <family val="2"/>
            <scheme val="minor"/>
          </rPr>
          <t xml:space="preserve">Второй полк 50-ой ИАД ввёлся только через полмесяца начала боевых действий.
По схеме и формуле [(26*15 дней)+(54*15 дней)] / 30 дней = 40 боеспособных пилотов в среднем в месяц.
Проще - т.к. там точно середина месяца :  (26+54) / 2 = 40 боеспособных в среднем в месяц.
Это осреднённые данные, так как из-за прихода только что введённого 177 иап именно на середину месяца,  боеспособных на этот момент будет 56, несмотря на исключительно резкую утрату боеспособности 29 гвиап.  
</t>
        </r>
      </text>
    </comment>
    <comment ref="B4" authorId="0" shapeId="0">
      <text>
        <r>
          <rPr>
            <b/>
            <sz val="9"/>
            <color indexed="60"/>
            <rFont val="Tahoma"/>
            <family val="2"/>
          </rPr>
          <t xml:space="preserve">&gt;&gt; Vitali Acote, 11/8-15 : 455 боевых вылетов по данным штаба 50 ИАД за январь 1951 года и 519 боевых вылетов в таблице. Разница составляет 64 вылета в «плюс»... </t>
        </r>
        <r>
          <rPr>
            <b/>
            <sz val="9"/>
            <color indexed="81"/>
            <rFont val="Tahoma"/>
            <family val="2"/>
          </rPr>
          <t xml:space="preserve">
По данным Набоки 455 БСВ, тогда как по моему расчёту их было 519. Разница составляет 12%. Не много...
Но я исправил.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 xml:space="preserve">Полный штат двухполковой дивизии.
</t>
        </r>
      </text>
    </comment>
    <comment ref="D4" authorId="0" shapeId="0">
      <text>
        <r>
          <rPr>
            <b/>
            <sz val="10"/>
            <color indexed="81"/>
            <rFont val="Tahoma"/>
            <family val="2"/>
          </rPr>
          <t>При увеличении боеспособности 29 гвиап в январе с 16 боеспособных пилотов до 20, общее их количество для 50-ой ИАД станет равным 51 человеку.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Так я считал раньше.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Однако, количество БСВ за январь по данным Набоки было меньше на 64, то для соблюдения балланса суммы БСВ Первой смены, добавляем по 32 БСВ на февраль и март 1951-го поровну.
Тогда 
Точные помесячные цифры БСВ неизвестны - да и будучи известными никаких изменений в искомый результат - боевое напряжение по сменам и периодам, не внесут.
См. также коммент за январь 1951-го.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 xml:space="preserve">Только 28 гвиап 151-ой ГвИАД.
72 гвиап этой же дивизии не использовался из-за низкой активности американской авиации, которая обуславвливалась потерей передовых аэродромов из-за наступления КНД. См.также колонки, описывающие количество самолётов и низкую активность их авиации в марте 1951-го и цитаты из КиТ, сброшенные 27/2-16.  </t>
        </r>
      </text>
    </comment>
    <comment ref="D5" authorId="0" shapeId="0">
      <text>
        <r>
          <rPr>
            <b/>
            <sz val="10"/>
            <color indexed="81"/>
            <rFont val="Tahoma"/>
            <family val="2"/>
          </rPr>
          <t>28 гвиап 151-ой ГвИАД в ноябре уже отвоевал 1 месяц.
При «стандартной» помесячной утрате боеспособности (а «стандарт» брался по Второй смене) по графику на миллиметровке : 
- в середине первого месяца, т.е. через полмесяца начала боёв, боеспособность соединений должна составлять 0,98
- через полтора месяца  – 0,92. 
То есть, в середине февраля 28 гвиап должен утратить боеготовность до 0,92.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Так я считал раньше.
Однако, количество БСВ за январь по данным Набоки было меньше на 64, то для соблюдения балланса суммы БСВ Первой смены, добавляем по 32 БСВ на февраль и март 1951-го поровну.
Тогда 
Точные помесячные цифры БСВ неизвестны - да и будучи известными никаких изменений в искомый результат - боевое напряжение по сменам и периодам, не внесут.
См. также коммент за январь 1951-го.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>
      <text>
        <r>
          <rPr>
            <b/>
            <sz val="10"/>
            <color indexed="81"/>
            <rFont val="Tahoma"/>
            <family val="2"/>
          </rPr>
          <t xml:space="preserve">Эта цифра не совпадает со штатным расписанием и равна примерно 50, если к ранее действующему 28 гвиап в начале марта присоединилась лишь одна АЭ 72 гвиап, а в середине марта ещё одна АЭ 72 гвиап.
А ещё одна АЭ этого же полка в боевых действиях участия </t>
        </r>
        <r>
          <rPr>
            <b/>
            <u/>
            <sz val="10"/>
            <color indexed="81"/>
            <rFont val="Tahoma"/>
            <family val="2"/>
          </rPr>
          <t>вообще больше не принимала</t>
        </r>
        <r>
          <rPr>
            <b/>
            <sz val="10"/>
            <color indexed="81"/>
            <rFont val="Tahoma"/>
            <family val="2"/>
          </rPr>
          <t xml:space="preserve">, ограничив своё участие в Корейской кампании ноябрём месяцем 1950-го года.  
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10"/>
            <color indexed="81"/>
            <rFont val="Tahoma"/>
            <family val="2"/>
          </rPr>
          <t>При «стандартной» помесячной утрате боеспособности (а «стандарт» брался по Второй смене)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
В данном случае, т.е. к середине марта 28 гвиап отвоюет уже два с половиной месяца и утратит боеспособность до 0,85, а две АЭ соседнего 72 гвиап только полтора месяца и их боеспособность упадёт до 0,92.
А в среднем до 0,89.</t>
        </r>
      </text>
    </comment>
    <comment ref="B7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Вот теперь 324-я ИАД. 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смены, судя по точным данным 17 иап, он не опускался.
В середине апреля 1951 боеспособность была = 68*0,98=67</t>
        </r>
      </text>
    </comment>
    <comment ref="F7" authorId="1" shapeId="0">
      <text>
        <r>
          <rPr>
            <b/>
            <sz val="9"/>
            <color indexed="81"/>
            <rFont val="Tahoma"/>
            <charset val="1"/>
          </rPr>
          <t xml:space="preserve">Здесь дата дана по каноническим материалам </t>
        </r>
      </text>
    </comment>
    <comment ref="B8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Во 2-й смене дивизии, причём разного по количеству полков составу, вступили в боевые действия в разное время. При этом 303-я ИАД, введённая чуть позже, ещё и вводилась по полкам.
Это не так просто посчитать. Но придётся. 
Тогда получается, что в мае 1951-го 324-я ИАД работает уже второй месяц, а один полк 303-ей только первый. 68*0,92 (потому что 68 пилотов 324-ой ИАД пашут уже второй месяц  + 32 пилота одного полка 303-ей ИАД * 0,98 (0,98 потому что эти 32 пилота воюют только первый месяц). 
Получилось 94 пилота. Что и отражено в формуле.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Схема расчёта та же.
68 пилотов идут уже с коефф. 0,85, а 100 с коефф.0,92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Июль. 68 пилотов идут с коефф.0,79, а 100 с коефф. 0,85.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</rPr>
          <t xml:space="preserve">По линии (т.к. точные данные есть только для 15 сент. 1951, стр.352) на 1-е сентября у Корпуса около 8 100 БВ.
Значит в августе он выполнил 8 100 - 6 690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= 1410 БВ.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Август. 68 пилотов идут с коефф.0,7, а 100 с коефф. 0,79.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по2 934-2 935 БВ в среднем в месяц.
А по мэйлу 19/3-13 я получил от Александра некоторую статистику по боевым и небоевым вылетам 17 иап.
- Сентябрь 1951-го – 604 боевых вылета.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Сентябрь. 68 пилотов идут с коефф.0,6, а 100 с коефф. 0,7.
С этого, или следующего месяца должны поступать массовые пополнения. Так как боевое напряжение высоко.
Кстати, на 15 сентября на стр.351 отмечено число боеспособных экипажей 303-ей и 324-ой дивизий. Их было 121 - больше, чем по моему расчёту . 
У меня только 111. Ошибка 8%.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Сентябрь. Резкое увиличение боевого напряжения из-за роста боевых самолётовылетов. См.миллиметровку. 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Октябрь 1951-го – 592 боевых вылета.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Октябрь. 68 пилотов идут с коефф.0,6 (так как достигнут абсолютный минимум боеспособности 324-ой ИАД, а 100 с коефф. 0,6 и тоже вышла на минимум.
С этого, или с предыдущего месяца должны поступать массовые пополнения. Иначе соединения тряют боеспособность.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Высокое боевое напряжение. Правда, именно в этом месяце и у американцев не меньше.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Ноябрь 1951-го – 853 боевых вылета.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Ноябрь. Обе дивизии воюют на минимуме боеспособности 0,6. Боевое напряжение уже третий месяц подряд превышает аналог для пилотов F-86.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 этом месяце уже в два раза!!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Декабрь 1951-го – 680 боевых вылета.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Декабрь. Несмотря на необходимые массовые пополнения, начавшиеся, видимо с сентября-октября 1951, в декабре опять максимальное боевое напряжение, превосходящее боевое напряжение пилотов Сэйбров в два раза. Вот отсюда и усталость и уколы глюкозы и помощь в выходе из самолёта. Отсюда болезни и т.д. А мы всё думали ППК. Хотя с ним было бы намного легче. 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по мэйлу 19/3-13 я получил от Александра некоторую статистику по боевым и небоевым вылетам 17 иап.
В январе 1952-го 632 боевых вылета
Но самое интересное - стр.366 (в самом низу) и стр.367, где написано : 
</t>
        </r>
        <r>
          <rPr>
            <b/>
            <i/>
            <sz val="9"/>
            <color indexed="60"/>
            <rFont val="Tahoma"/>
            <family val="2"/>
          </rPr>
          <t xml:space="preserve">
"...если в 1952 г. днём за 12 месяцев было призведено 23 539 самолётовылетов, а за месяц в среднем 1 916, то..."</t>
        </r>
        <r>
          <rPr>
            <b/>
            <sz val="9"/>
            <color indexed="81"/>
            <rFont val="Tahoma"/>
            <charset val="1"/>
          </rPr>
          <t xml:space="preserve">
Когда на самом деле не 1 916, а 1 961 - 1 962. Именно столько в среднем до конца года!! </t>
        </r>
      </text>
    </comment>
    <comment ref="C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</t>
        </r>
        <r>
          <rPr>
            <b/>
            <sz val="9"/>
            <color indexed="60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303-ей и 324 ИАД. 34+168 ещё не ушедших ИАД = 202 пилота.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оставшимся 60% (101 боеспособный пилот) 2-ой смены. 101 пилот + 0,5(68) свежей и ещё не начавшей терять боеспособность 97-ой ИАД получится 133 боеспособных (допущенных к боевым вылетам) пилотов. 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 xml:space="preserve">
По мэйлу 19/3-13 я получил от Александра некоторую статистику по боевым и небоевым вылетам 17 иап. В Феврале 1952-го 236 боевых вылета
</t>
        </r>
      </text>
    </comment>
    <comment ref="C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:-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К февралю 1952 324-я ИАД уже вышла с ТВД, а 303-я ещё оствалась.
К её 100 пилотам добавляем 68 прибывших на месяц раньше и уже влетавшихся пилотов 97-ой ИАД и половину (т.к.они начали действовать с середины февраля) ЛС трёхполковой 190-ой ИАД. 
100+68+0,5(100) = 218 пилотов.</t>
        </r>
      </text>
    </comment>
    <comment ref="D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81"/>
            <rFont val="Tahoma"/>
            <family val="2"/>
          </rPr>
          <t xml:space="preserve">
97-я ИАД провоевала месяц и в его середине её боеспособность составила 0,98 от 68 штатных, а 190-я в середине февраля только начала и их по-прежнему 100% от 100 штатных. Но из-за «середины месяца» у 190-ой ИАД берём только половину. И всего боеспособных получится 117.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97-я ИАД начала работу 16 января, а 190-я ИАД 14 фефраля.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Это условная и осреднённая граница. Если её не выбрать, то невозможно получить боевое напряжение по сменам.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Март 1952
Боеспособность 97-ой ИАД упала до 0,92, а 190-ой до 0,98. 
0,92*68+0,98*100=161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19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в апреле с Мукдена на прикрытие взлета и посадки самолетов в Аньдуне. 
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 и получить 168+32=200, так?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штатных пилотов увеличим на 5% и добавим их к штатным пилотам уже воевавших дивизий. И получим : 168+0,05*168=176 штатных пилота.</t>
        </r>
        <r>
          <rPr>
            <b/>
            <sz val="9"/>
            <color indexed="60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Апрель 1952 
</t>
        </r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</t>
        </r>
        <r>
          <rPr>
            <b/>
            <u/>
            <sz val="9"/>
            <color indexed="60"/>
            <rFont val="Tahoma"/>
            <family val="2"/>
          </rPr>
          <t>в апреле с Мукдена</t>
        </r>
        <r>
          <rPr>
            <b/>
            <sz val="9"/>
            <color indexed="60"/>
            <rFont val="Tahoma"/>
            <family val="2"/>
          </rPr>
          <t xml:space="preserve"> на прикрытие взлета и посадки самолетов в Аньдуне. 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иап.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боеспособных пилотов увеличим на 5% и добавим их к боеспособным пилотам уже воевавших дивизий. Силы которых, стали постепенно таять.
И получим : (0,85*68)+(0,92*100) плюс 5% от этого результата. Получится 157.
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0" authorId="0" shapeId="0">
      <text>
        <r>
          <rPr>
            <b/>
            <sz val="9"/>
            <color indexed="60"/>
            <rFont val="Tahoma"/>
            <family val="2"/>
          </rPr>
          <t>&gt;&gt;Vitali Acote, 25/1-12 : (</t>
        </r>
        <r>
          <rPr>
            <b/>
            <sz val="9"/>
            <color indexed="81"/>
            <rFont val="Tahoma"/>
            <family val="2"/>
          </rPr>
          <t>133-я ИАД</t>
        </r>
        <r>
          <rPr>
            <b/>
            <sz val="9"/>
            <color indexed="60"/>
            <rFont val="Tahoma"/>
            <family val="2"/>
          </rPr>
          <t xml:space="preserve">)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
</t>
        </r>
        <r>
          <rPr>
            <b/>
            <sz val="9"/>
            <color indexed="81"/>
            <rFont val="Tahoma"/>
            <family val="2"/>
          </rPr>
          <t xml:space="preserve">А в мае 415 иап уже полностью задействован. Поэтому 168 пилотов двух уже действующих дивизий плюс 32 пилота 415 иап = 200 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Май 1952
</t>
        </r>
        <r>
          <rPr>
            <b/>
            <sz val="9"/>
            <color indexed="60"/>
            <rFont val="Tahoma"/>
            <family val="2"/>
          </rPr>
          <t>&gt;&gt;Vitali Acote, 25/1-12 :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</t>
        </r>
        <r>
          <rPr>
            <b/>
            <sz val="9"/>
            <color indexed="81"/>
            <rFont val="Tahoma"/>
            <family val="2"/>
          </rPr>
          <t xml:space="preserve">
А в мае 415 иап уже полностью задействован. Хотя, судя по фразе «несколько боевых вылетов в район Супхун ГЭС», видимо, вся основная задача лежала всё-таки пока ещё на 3-й смене. Но доказать пока ничего не возможно. Работа КиТ по 97-ой ИАД так и не вышла.
Поэтому считаем так : 0,79*68 (97-я ИАД)+0,85*100 (190-я ИАД) + 0.98*32 (415 иап) = 170 боеспособных.
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По "Дислокации", рис.14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Июнь 1952.
По "Дислокации", рис.14 определяются штатные и по графику миллиметровки (как, впрочем, и до этого) определяем количество боеспособных. 
(0,7*68)+(0,79*100)+(0,92*32)+23 только начавших пилота 147 иап = 179 беспособных.
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2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 </t>
        </r>
        <r>
          <rPr>
            <b/>
            <u/>
            <sz val="9"/>
            <color indexed="60"/>
            <rFont val="Tahoma"/>
            <family val="2"/>
          </rPr>
          <t>1 августа 1952</t>
        </r>
        <r>
          <rPr>
            <b/>
            <sz val="9"/>
            <color indexed="60"/>
            <rFont val="Tahoma"/>
            <family val="2"/>
          </rPr>
          <t xml:space="preserve">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 xml:space="preserve">20 августа совершили летчики 913-го полка, остальные два полка вступили в бой в начале сентября. </t>
        </r>
        <r>
          <rPr>
            <b/>
            <sz val="9"/>
            <color indexed="81"/>
            <rFont val="Tahoma"/>
            <family val="2"/>
          </rPr>
          <t xml:space="preserve">
Несмотря но то, что 32-я и 216-я ИАД уже прибыли, их лётчики в июЛе в боевых действиях пока не участвовали. В июле действовали те же 97-я, 190-я и девяносто пилотов 133-ей ИАД (там без одной эскадрильи). Всего 258 штатных пилота.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ИюЛь 1952
Несмотря но то, что 32-я и 216-я ИАД уже прибыли, их лётчики в июЛе в боевых действиях пока не участвовали. В июле действовали те же 97-я, 190-я и оставшаяся боеспособная часть от девяноста пилотов 133-ей ИАД (там без одной эскадрильи). 
Получается (давайте поподробнее) : 
97-я ИАД – 0,6 от 68 штатных
190-я ИАД – 0,7 от 100 штатных
133-я ИАД без одной (видимо, ночной) эскадрильи – 0,85 от 90 штатных
Итого 147 боеспособных.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3" authorId="0" shapeId="0">
      <text>
        <r>
          <rPr>
            <b/>
            <sz val="9"/>
            <color indexed="60"/>
            <rFont val="Tahoma"/>
            <family val="2"/>
          </rPr>
          <t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</t>
        </r>
        <r>
          <rPr>
            <b/>
            <u/>
            <sz val="9"/>
            <color indexed="60"/>
            <rFont val="Tahoma"/>
            <family val="2"/>
          </rPr>
          <t xml:space="preserve"> 1 августа</t>
        </r>
        <r>
          <rPr>
            <b/>
            <sz val="9"/>
            <color indexed="60"/>
            <rFont val="Tahoma"/>
            <family val="2"/>
          </rPr>
          <t xml:space="preserve"> 1952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>20 августа</t>
        </r>
        <r>
          <rPr>
            <b/>
            <sz val="9"/>
            <color indexed="60"/>
            <rFont val="Tahoma"/>
            <family val="2"/>
          </rPr>
          <t xml:space="preserve"> совершили летчики 913-го полка, остальные два полка вступили в бой в начале сентября. 
</t>
        </r>
        <r>
          <rPr>
            <b/>
            <sz val="9"/>
            <color indexed="81"/>
            <rFont val="Tahoma"/>
            <family val="2"/>
          </rPr>
          <t xml:space="preserve">
Вот август месяц 1952 г. До 10 авг. ещё вели боевые действия 97-я и 190-я ИАД. Это треть месяца, поэтому берём третью часть состава. 168 пилотов*0,33 = 55. 
Добавляем к ним 90 лётчиков (без ночной АЭ) 133-ей ИАД, воевавшей весь месяц. 
Добавляем к ним 100 лётчиков 216-ой ИАД, которая подключилась как раз в начале августа.
И добавляем к ним 100 лётчиков 32-ой ИАД. Но не все 100, т.к. они начали выполять БВ только 20 августа, а пропорционально, т.е. 100*0,33 месяца = 33 лётчика.
Итого получилось, что в августе 1952-го боевые вылеты должны бы выполнять 278 членов лётного состава.  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Август 1952 
Вот август месяц 1952 г. До 10 августа ещё вели боевые действия 97-я и 190-я ИАД. Это треть месяца, поэтому берём третью часть оставшегося боеспособного состава. 
- Вот что осталось от 97-ой ИАД, ведущей бои уже семь месяцев. Опять, что и в прошлом, июЛе месяце 0,6*68=41 боеспособный. Но они летали только треть месяца. Поэтому они сняли боевую нагрузку с остальных не как 41, а всего лишь, как </t>
        </r>
        <r>
          <rPr>
            <b/>
            <u/>
            <sz val="9"/>
            <color indexed="81"/>
            <rFont val="Tahoma"/>
            <family val="2"/>
          </rPr>
          <t>13.</t>
        </r>
        <r>
          <rPr>
            <b/>
            <sz val="9"/>
            <color indexed="81"/>
            <rFont val="Tahoma"/>
            <family val="2"/>
          </rPr>
          <t xml:space="preserve">
- Вот что осталось от 190-ой ИАД, ведущей бои уже шесть месяцев – 0,6*100=60 боеспособных. Они тоже вышли на нижний предел боеспособности. Но и они летали только треть месяца. Поэтому они сняли боевую нагрузку с остальных не как 60, а всего лишь, как </t>
        </r>
        <r>
          <rPr>
            <b/>
            <u/>
            <sz val="9"/>
            <color indexed="81"/>
            <rFont val="Tahoma"/>
            <family val="2"/>
          </rPr>
          <t>20.</t>
        </r>
        <r>
          <rPr>
            <b/>
            <sz val="9"/>
            <color indexed="81"/>
            <rFont val="Tahoma"/>
            <family val="2"/>
          </rPr>
          <t xml:space="preserve">
- Это ещё не всё. К ним нужно добавить боеспособную часть от 90 лётчиков (без ночной АЭ) 133-ей ИАД, воюющей уже третий месяц, хоть и не всё время полным составом, но по графику по t уже вышедшей за это время на «дроп» 0,79. Т.е. в 133-ей ИАД оставалось – 0,79*90=</t>
        </r>
        <r>
          <rPr>
            <b/>
            <u/>
            <sz val="9"/>
            <color indexed="81"/>
            <rFont val="Tahoma"/>
            <family val="2"/>
          </rPr>
          <t xml:space="preserve">71 </t>
        </r>
        <r>
          <rPr>
            <b/>
            <sz val="9"/>
            <color indexed="81"/>
            <rFont val="Tahoma"/>
            <family val="2"/>
          </rPr>
          <t xml:space="preserve">боеспособный пилот.
- Добавляем к ним 100 лётчиков 216-ой ИАД, которая подключилась как раз в начале августа. И в его середине имевшая боеготовность около 0,98. То есть </t>
        </r>
        <r>
          <rPr>
            <b/>
            <u/>
            <sz val="9"/>
            <color indexed="81"/>
            <rFont val="Tahoma"/>
            <family val="2"/>
          </rPr>
          <t>98</t>
        </r>
        <r>
          <rPr>
            <b/>
            <sz val="9"/>
            <color indexed="81"/>
            <rFont val="Tahoma"/>
            <family val="2"/>
          </rPr>
          <t xml:space="preserve"> лётчиков.
- И добавляем к ним 100 только что вступивших в бои лётчиков 32-ой ИАД и имеющей 100% боеготовность. Но не все 100, потому что они начали выполнять БВ только 20 августа, а пропорционально, т.е. 100*0,33 месяца = </t>
        </r>
        <r>
          <rPr>
            <b/>
            <u/>
            <sz val="9"/>
            <color indexed="81"/>
            <rFont val="Tahoma"/>
            <family val="2"/>
          </rPr>
          <t xml:space="preserve">33 </t>
        </r>
        <r>
          <rPr>
            <b/>
            <sz val="9"/>
            <color indexed="81"/>
            <rFont val="Tahoma"/>
            <family val="2"/>
          </rPr>
          <t xml:space="preserve">лётчика.
Итого получилось, что в августе 1952-го к полётам были допущены 235 лётчиков в среднем в месяц. 
</t>
        </r>
      </text>
    </comment>
    <comment ref="F23" authorId="1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один из полков Четвёртой смены (415 иап 133-ей ИАД) первые БВ начал уже в мае 1951-го. Причём уже с АД 1-ой линии.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"Дислокация", рис.18 и до конца.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Сентябрь 1952 
Дальше всё по расходованию боеготовности с её определёнными коэффициентами с минимумом 0,6 – то есть, считаем, как и раньше. 
- 90 «дневных» лётчиков 133-ей ИАД сохраняют только 0,7 боеспособных от штата = 63 человека.
- 216-я ИАД  - 0,92*100= 92 человека
- 32-я ИАД – 0,98*100= 98 человека 
- 578 иап ТОФ, вступивший в бои в конце августа (почитай, в начале сентября 1952) = 32 человека.
Итого в сентябре 285 боеспособных пилота в среднем в месяц. 
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Октябрь 1952 
- 90 «дневных» лётчиков 133-ей ИАД сохраняют минимальные 0,6 боеспособных от штата = 54 человека.
- 216-я ИАД  - 0,85*100= 85 человека
- 32-я ИАД – 0,92*100= 92 человека 
- 578 иап ТОФ, вступивший в бои в конце августа (почитай, в начале сентября 1952) = 32*0,98=31
Итого в октябре 262 боеспособных пилота в среднем в месяц. 
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Ноябрь 1952 
- 90 «дневных» лётчиков 133-ей ИАД сохраняют минимальные 0,6 боеспособных от штата = 54 человека. - 216-я ИАД  - 0,79*100= 79 человека
- 32-я ИАД – 0,85*100= 85 человека 
- 578 иап ТОФ – 0,92*32 = 29 человек
Итого в ноябре 247 боеспособных пилотов в среднем в месяц. 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Декабрь 1952 . В декабре ранее полная 32-я ИАД отдаёт одну эскадрилью. Видимо, для боевых действий ночью. Номер полка не указываю. Тогда баланс становится таким: 
- 90 «дневных» лётчиков 133-ей ИАД сохраняют минимальные 0,6 боеспособных от штата = 54 человека. - 216-я ИАД  - 0,7*100= 70 человек
- 32-я ИАД – 0,79*90= 71 человек 
- 578 иап ТОФ – 0,85*32 = 27 человек
Итого в декабре 222 боеспособных пилотов в среднем в месяц. 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По стр. 366 с января 1953-го значительное увеличение интенсивности БВ.
А на стр.367 указано, что Корпус за 7 месяцев выполнил 18 152 БВ или 2 600 БВ в среднем в месяц. На самом деле около 2 593 до конца боевых действий.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Январь 1953. 
- 90 «дневных» лётчиков 133-ей ИАД сохраняют минимальные 0,6 боеспособных от штата = 54 человека.
- 216-я ИАД  - 0,6*100= 60 человек
- 32-я ИАД – 0,7*90= 63 человек 
- 578 иап ТОФ – 0,79*32 = 25 человек
Итого в декабре 202 боеспособных пилотов в среднем в месяц. 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Февраль 1953. 
Во второй половине января (хотя я здесь пишу «с начала февраля») 578 иап ТОФ выводится с ТВД, а на его место вводится новый Флотский полк – 781 иап. Теперь в баланс (в середине месяца, разумеется, как и для всех описанных периодов) выглядит так :
- 90 «дневных» лётчиков 133-ей ИАД сохраняют минимальные 0,6 боеспособных от штата = 54 человека.
- 216-я ИАД  - 0,6*100= 60 человек
- 32-я ИАД – 0,6*90= 54 человека
- 781 иап ТОФ – 0,98*32= 31 человек 
Итого в декабре 199 боеспособных пилотов в среднем в месяц. 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Март 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0,92*32 = 29 человек
Итого в марте 197 боеспособных пилота в среднем в месяц. 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Апрель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0,85*32 = 27 человек
Итого в апреле 195 боеспособных пилота в среднем в месяц. 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Май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0,79*32 = 25 человек
Итого в мае 193 боеспособных пилота в среднем в месяц. 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Июнь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0,7*32 = 22 человека
Итого в июне 190 боеспособных пилота в среднем в месяц.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ИюЛь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0,6*32 = 19 человека
Итого в июЛе 187 боеспособных пилотов в среднем в месяц. 
</t>
        </r>
      </text>
    </comment>
    <comment ref="B39" authorId="1" shapeId="0">
      <text>
        <r>
          <rPr>
            <b/>
            <sz val="9"/>
            <color indexed="81"/>
            <rFont val="Tahoma"/>
            <charset val="1"/>
          </rPr>
          <t>Эти цифры уже были сброшены в XL "боевое напряжение"
14/10-12</t>
        </r>
      </text>
    </comment>
    <comment ref="A40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доклада полковника Бережного.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"Первый период — с сентября 1951 г. по январь 1952 г. (5 мес.) В этом периоде боевые действия вели авиадивизии полковника Кожедуба [324 ИАД] и полковника Куманичкина [303 ИАД]....Наибольшее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 "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0" authorId="1" shapeId="0">
      <text>
        <r>
          <rPr>
            <b/>
            <sz val="9"/>
            <color indexed="81"/>
            <rFont val="Tahoma"/>
            <family val="2"/>
          </rPr>
          <t>стр.339</t>
        </r>
      </text>
    </comment>
    <comment ref="A41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долада полковника Бережного.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"Второй период — с февраля по июль 1952 г. (6 мес.) 
Боевые действия вели дивизии полковника Шевцова [97 ИАД] и полковника Корнилова [190 ИАД].....
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во втором периоде до 13 боевых вылетов на одного боеготового летчика."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– вот доказательство, что январь в первом периоде «включительно», начали второй период с февраля.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10.5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.5"/>
            <color indexed="39"/>
            <rFont val="Tahoma"/>
            <family val="2"/>
          </rPr>
          <t>"Одновременно снижалось и боевое напряжение — во втором периоде до 13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A42" authorId="0" shapeId="0">
      <text>
        <r>
          <rPr>
            <b/>
            <sz val="10"/>
            <color indexed="60"/>
            <rFont val="Tahoma"/>
            <family val="2"/>
          </rPr>
          <t>Игорь Км, 26/2-08</t>
        </r>
        <r>
          <rPr>
            <b/>
            <sz val="10"/>
            <color indexed="81"/>
            <rFont val="Tahoma"/>
            <family val="2"/>
          </rPr>
          <t xml:space="preserve"> , http://forums.airbase.ru/2007/11/t58366,6--vojna-v-koree-chast-2.html : 
</t>
        </r>
        <r>
          <rPr>
            <b/>
            <sz val="10"/>
            <color indexed="18"/>
            <rFont val="Tahoma"/>
            <family val="2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</t>
        </r>
        <r>
          <rPr>
            <b/>
            <sz val="10"/>
            <color indexed="81"/>
            <rFont val="Tahoma"/>
            <family val="2"/>
          </rPr>
          <t xml:space="preserve">
Из долада полковника Бережного.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"Третий период— с августа по декабрь 1952г. (5 мес.) Боевые действия вели соединения и части полковника Комарова [133 ИАД], полковника Еремина [216 ИАД] , полковника Гроховецкого [32 ИАД] и подполковника Доброва [578 иап ТОФ]...В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 третьем периоде до 10 боевых вылетов на одного боеготового летчика."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Вот доказательство, что июЛь во втором периоде был «включительно». Ясно, если начали третий период с августа.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"Одновременно снижалось и боевое напряжение .... и в третьем периоде до 10 боевых вылетов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J43" authorId="1" shapeId="0">
      <text>
        <r>
          <rPr>
            <b/>
            <sz val="9"/>
            <color indexed="81"/>
            <rFont val="Tahoma"/>
            <family val="2"/>
          </rPr>
          <t>стр.367</t>
        </r>
      </text>
    </comment>
    <comment ref="K46" authorId="1" shapeId="0">
      <text>
        <r>
          <rPr>
            <b/>
            <sz val="9"/>
            <color indexed="81"/>
            <rFont val="Tahoma"/>
            <charset val="1"/>
          </rPr>
          <t>Набока стр.230</t>
        </r>
      </text>
    </comment>
    <comment ref="K47" authorId="1" shapeId="0">
      <text>
        <r>
          <rPr>
            <b/>
            <sz val="9"/>
            <color indexed="81"/>
            <rFont val="Tahoma"/>
            <charset val="1"/>
          </rPr>
          <t xml:space="preserve">23 761 - эта цифра взята на линии между 19 838 БВ (по сумме за 1950 и 1951 годы) и цифрой 43 377 БВ за 1950, 1951 и 1952 годы - промежуточных точек, к сожалению, нет. А точность измерения удельного помесячного боевого напряжения в большой степени зависит от длины участка - чем длиннее, тем меньше точность. 
Единственное, что можно утверждать точно, так это, что эта  цифра будет находится выше фактической точки, указанной Набокой , приходящейся на конец работы Второй смены (конец февраля 1952-го) и равной сумме БВ Первой и Второй смен в
22 058 БВ. Это потому, что фактически (по Набоке) Третья смена начала выполнять (хоть и не всем составом сразу) уже с середины января и за эти полтора месяца какое-то количество БВ успела выполнить. 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  <author>Valentine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Сначала почти такой же график был сброшен 6/5-15 под названием "Официальное количество USAF". Потом под теперичым названием 23/6-15.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См. миллиметровку "Боевые вылеты" по t.
1-я смена дана врозбивку, т.к. по ней есть такие данные. Остальные смены даны не по месяцам (потому что помесячных данных нет) а по осреднённым данным, по имеющимся точно известным "реперам".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Здесь предполагается использование всех наличных сил - т.е., всего лётного состава, который на этот момент уже прошёл (должен пройти) необходимую предбоевую подготовку непросредственно на ТВД.
</t>
        </r>
        <r>
          <rPr>
            <b/>
            <sz val="10"/>
            <color indexed="81"/>
            <rFont val="Tahoma"/>
            <family val="2"/>
          </rPr>
          <t xml:space="preserve">См. также рисунки "Дислокация". При этом нужно учесть, что : 
- 1-я смена действовала вначале с аэродромов Аэроузла, потом только с Первой линии.
- 2-я смена действтвала только с аэродромов Первой линии (Плацдарма). 
- 3-я смена действтвала со всех аэродромов обеих линий.
- 4-я смена действовала со всех аэродромов обеих линий.
</t>
        </r>
        <r>
          <rPr>
            <b/>
            <sz val="9"/>
            <color indexed="81"/>
            <rFont val="Tahoma"/>
            <family val="2"/>
          </rPr>
          <t xml:space="preserve">
Все составы даны по штатам "15/39" для полков и "15/38" для дивизий., </t>
        </r>
        <r>
          <rPr>
            <b/>
            <u/>
            <sz val="10"/>
            <color indexed="10"/>
            <rFont val="Tahoma"/>
            <family val="2"/>
          </rPr>
          <t>кроме ноября 1950</t>
        </r>
        <r>
          <rPr>
            <b/>
            <sz val="9"/>
            <color indexed="81"/>
            <rFont val="Tahoma"/>
            <family val="2"/>
          </rPr>
          <t xml:space="preserve">, так как этот вопрос решался по согласованию с В.Набокой. Полное цитирование :  
5/1-12 
По статье КиТ «Хроника потерь истребительной элиты» стр.16 по «корейскому» штату в составе полка было 30-34 лётчика, в управлении дивизией – 4. Тогда в среднем 32 лётчика в полку и 4 в упр ИАД и тогда в двухполковой ИАД 68 лётчиков, а в трёхполковой ровно 100. Проверьте, пожалуйста, «картинку» с 1-го по 20-е ноября 1950-го.
8/1-12
Давайте пока только о до 20 ноября – я и здесь-то уже запутался. 
Если учесть ваши последние поправки, то получается всего 111 лётчиков на все четыре полка 28-ой ИАД и 151-ой ГвИАД. Исправлять или оставлять рассчётные КиТ данные по дивизиям двухполкового состава? 
9/1-12
</t>
        </r>
        <r>
          <rPr>
            <b/>
            <sz val="9"/>
            <color indexed="60"/>
            <rFont val="Tahoma"/>
            <family val="2"/>
          </rPr>
          <t>&gt;&gt;Vitali Acote, 9/1-12 : Хотите исправляйте, хотите оставьте.</t>
        </r>
        <r>
          <rPr>
            <b/>
            <sz val="9"/>
            <color indexed="81"/>
            <rFont val="Tahoma"/>
            <family val="2"/>
          </rPr>
          <t xml:space="preserve">
Если исправлять по изложенному вами факту (а это факт), то, поскольку вы написали 
</t>
        </r>
        <r>
          <rPr>
            <b/>
            <i/>
            <sz val="9"/>
            <color indexed="60"/>
            <rFont val="Tahoma"/>
            <family val="2"/>
          </rPr>
          <t>&gt;&gt;Vitali Acote, 7/1-12 : По самолетам правильно, по летчикам нет... &gt;&gt;</t>
        </r>
        <r>
          <rPr>
            <b/>
            <sz val="9"/>
            <color indexed="81"/>
            <rFont val="Tahoma"/>
            <family val="2"/>
          </rPr>
          <t xml:space="preserve">
после исправления получится 124 МиГа и всего 111 лётчиков. То есть машин больше, чем лётного состава. Это возможно?
Поскольку ваши данные по количеству лётного состава являются архивными (т.е. фактическими) вношу изменения в картинку. Должен вам сказать, что я вношу изменения уже четвёртый раз за неделю и когда я вам предлагал перейти на обмен сначала по мэйлу, я прежде всего имел ввиду не грузить форум лишними картинками, экономя место и не сбивая людей с толка.
Однако в данном случае всё ясно – от факта деваться некуда : примерно 124 МиГа и 111 лётчиков, по месту базирования могущих принять участие в боях с 1-го по 20-е ноября 1950-го. Теперь правильно?
10/1-12
</t>
        </r>
        <r>
          <rPr>
            <b/>
            <sz val="9"/>
            <color indexed="60"/>
            <rFont val="Tahoma"/>
            <family val="2"/>
          </rPr>
          <t>&gt;&gt;Vitali Acote, 10/1-12 : Поскольку вы учитываете 4 МиГа из Управлений дивизиями, то следовало бы учитывать и их летный состав, а это - командир, два его зама и штурман. В ноябре, кажется, они реальных боевых вылетов не совершали, но при острой необходимости были готовы к этому. Так, что, наверное стоит добавить к общему списку еще по 2 летчика на дивизию. 
Вообще, вы вроде собирались указывать штатные составы наших частей, а не их фактическое колличество? Истинное число пилотов и самолетов я не знаю, о чем тут уже говорил не раз. Эти данные условные.</t>
        </r>
        <r>
          <rPr>
            <b/>
            <sz val="9"/>
            <color indexed="81"/>
            <rFont val="Tahoma"/>
            <family val="2"/>
          </rPr>
          <t xml:space="preserve">
11/1-12
</t>
        </r>
        <r>
          <rPr>
            <b/>
            <sz val="9"/>
            <color indexed="60"/>
            <rFont val="Tahoma"/>
            <family val="2"/>
          </rPr>
          <t xml:space="preserve">&gt;&gt;Vitali Acote, 11/1-12 : Валентин, я вам дал полную картину, а вы уже решайте, как двигаться дальше. Я выступаю против только если цифры или факты указаны не правильно. </t>
        </r>
        <r>
          <rPr>
            <b/>
            <sz val="9"/>
            <color indexed="81"/>
            <rFont val="Tahoma"/>
            <family val="2"/>
          </rPr>
          <t xml:space="preserve">
 «решайте как двигаться дальше».... «Решаю», для наглядности, максимально упростить пронумерованные периоды – я не могу уследить за передвижением каждого отдельного водила по аэродромам подневно – поэтому такие вещи как переброска отдельных эскадрилий одного и того же полка - здесь 177 Иап с пятнадцатого по двадцать шестое декабря 1950-го года, я обозначил просто «двадцатыми числами».
Вот смотрите что получается по первым трём периодам.
(1) ноябрь 1950-го 28-я ИАД и 151-я Гвиад на Аньшане. А это примерно 124 МиГа и 114 лётчиков.
….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См. миллиметровку "Процент пилотов, допущенных к БВ от штата", основанную на документах постепенного снижения боеспособности на примерах 324-ой и 303-ей ИАД. Этот график сброшен 25/5-13 , а затем 10/1-16.   
При «стандартной» помесячной утрате боеспособности (а «стандарт» брался по 324-ой и 303-ей ИАД) по графику на миллиметровке : 
- </t>
        </r>
        <r>
          <rPr>
            <b/>
            <sz val="9"/>
            <color indexed="10"/>
            <rFont val="Tahoma"/>
            <family val="2"/>
          </rPr>
          <t>в середине</t>
        </r>
        <r>
          <rPr>
            <b/>
            <sz val="9"/>
            <color indexed="81"/>
            <rFont val="Tahoma"/>
            <family val="2"/>
          </rPr>
          <t xml:space="preserve">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0,6-0,58 в дивизиях Второй смены он не опускался (может только в паре отдельных дат). Но и, судя по точным данным 17 иап, и не поднимался.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 xml:space="preserve">Airborne sorties by month, by type model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Average crews possessed in committed units, by type model, by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Average crews combat ready in commited units. FY-1953, PDF-</t>
        </r>
        <r>
          <rPr>
            <b/>
            <sz val="9"/>
            <color indexed="10"/>
            <rFont val="Tahoma"/>
            <family val="2"/>
          </rPr>
          <t>59</t>
        </r>
        <r>
          <rPr>
            <b/>
            <sz val="9"/>
            <color indexed="81"/>
            <rFont val="Tahoma"/>
            <family val="2"/>
          </rPr>
          <t>, стр.35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 xml:space="preserve">Отчёт за 1953 FY, стр.32 (PDF стр.56) :
</t>
        </r>
        <r>
          <rPr>
            <b/>
            <sz val="9"/>
            <color indexed="12"/>
            <rFont val="Tahoma"/>
            <family val="2"/>
          </rPr>
          <t xml:space="preserve">http://www.afhso.af.mil/usafstatistics/index.asp   
</t>
        </r>
        <r>
          <rPr>
            <b/>
            <sz val="9"/>
            <color indexed="81"/>
            <rFont val="Tahoma"/>
            <family val="2"/>
          </rPr>
          <t xml:space="preserve">Cреднее за месяц наличное количество самолётов в действующих частях с 1-го ноября 1950 по 27 июЛя 1953 по типам. 
</t>
        </r>
        <r>
          <rPr>
            <b/>
            <sz val="9"/>
            <color indexed="12"/>
            <rFont val="Tahoma"/>
            <family val="2"/>
          </rPr>
          <t>F-86</t>
        </r>
        <r>
          <rPr>
            <b/>
            <sz val="9"/>
            <color indexed="81"/>
            <rFont val="Tahoma"/>
            <family val="2"/>
          </rPr>
          <t xml:space="preserve">, TABLE 13 - AVERAGE AIRCRAFT POSSESSED IN COMMITTED UNITS BY TYPE MODEL BY MONTH - 26 JUNE 1950 THROUGH 27 JULY 1953. 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"Советские асы в небе Кореи", стр.339.
Это были 28-я и 151-я дивизии.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Все боевые вылеты они проводили со 2-й линии.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Эта цифра не совпадает со штатным расписанием, т.к. Дивизии находились в стадии формирования. Количество 114-115 было определено, как примерное и по согласованию с Набокой (см. 11/1-12)</t>
        </r>
      </text>
    </comment>
    <comment ref="D2" authorId="0" shapeId="0">
      <text>
        <r>
          <rPr>
            <b/>
            <sz val="10"/>
            <color indexed="81"/>
            <rFont val="Tahoma"/>
            <family val="2"/>
          </rPr>
          <t>28-я и 151 дивизии действовали с АД Мукденского аэроузла.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30/10-15 по фактическим данным Набоки вносится поправка !
</t>
        </r>
        <r>
          <rPr>
            <b/>
            <sz val="10"/>
            <color indexed="60"/>
            <rFont val="Tahoma"/>
            <family val="2"/>
          </rPr>
          <t xml:space="preserve">&gt;&gt; Vitali Acote, 26/6-15 : Я смотрю у вас большие проблемы не только с пониманием русского языка, но и но и совестью. Может действительно обратимся к модераторам форума?...
Когда читаешь эти цифры, душа просто преисполняется трепетом... Это ж надо в ноябре и декабре 1950 года дать «% Боеготовых пилотов (экипажей) МиГов - 0,98». И это при том, что 67 иап вообще имел на начало боевых действий всего 21-го лётчика, о чём я написал в этой ветке ещё 08.01.2012 ("62" стр. темы), но ещё раньше - 21.12.2011, на стр."60" я привёл цитату из «Журнала боевых действий 151 ГИАД» о количественном составе 151-й и 28-й дивизий на 19 ноября: «Боевой состав 151 ИАД: 56 экипажей..., 28 ИАД – 43 экипажа 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Т.е. 99 боеспособных пилота на 19 ноября 1950-го в обеих ИАД. 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60"/>
            <rFont val="Tahoma"/>
            <family val="2"/>
          </rPr>
          <t>&gt;&gt;Vitali Acote, 1/1-12 : ...Сколько конкретно самолетов МиГ-15 было в составе 151 ГИАД в июле 1950 года я не знаю. Думаю, что порядка 120 штук – три полка по 40 истребителей. Дальше уже эти самолеты были разделены между шестью полками (по 30 штук в каждом по штату). В Журнале боевых действий 151 ГИАД первое упоминание о количественном составе приходится на 19 ноября: «Боевой состав 151 ИАД: 56 экипажей, ...., 28 ИАД – 43 экипажа," ..... Здесь, насколько я понимаю, речь идет о боеготовых экипажах и самолетах.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Т.е. 99 боеспособных пилота на 19 ноября 1950-го в обеих ИАД. Но позже </t>
        </r>
        <r>
          <rPr>
            <b/>
            <sz val="11"/>
            <color indexed="10"/>
            <rFont val="Tahoma"/>
            <family val="2"/>
          </rPr>
          <t>Набока вводит новую поправку</t>
        </r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60"/>
            <rFont val="Tahoma"/>
            <family val="2"/>
          </rPr>
          <t>&gt;&gt; Vitali Acote, 11/8-15 : ....D2 «Количество боеспособных пилотов» в ноябре 1950 года: 112 в таблице и 100 в реальности ....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
Тогда отмечаем не 99, а 100 боеспособных пилотов в ноябре 1950-го.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</rPr>
          <t>Здесь дата дана по каноническим материалам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"Советские асы в небе Кореи", стр.339.
50-я дивизия
</t>
        </r>
      </text>
    </comment>
    <comment ref="C3" authorId="1" shapeId="0">
      <text>
        <r>
          <rPr>
            <b/>
            <sz val="10"/>
            <color indexed="81"/>
            <rFont val="Tahoma"/>
            <family val="2"/>
          </rPr>
          <t xml:space="preserve">
Фактическое количество, где указан более поздний ввод 177 иап, дано на стр. "Вариант 1".
А здесь при  использовании всего лётного состава, который на этот момент уже прошёл (должен пройти) необходимую предбоевую подготовку непросредственно на ТВД.
По Сейдову готовность 177 иап определялась так - И.Сейдов, Корейский счёт талалихинцев : </t>
        </r>
        <r>
          <rPr>
            <b/>
            <sz val="10"/>
            <color indexed="12"/>
            <rFont val="Tahoma"/>
            <family val="2"/>
          </rPr>
          <t>http://www.dorogavnebo.ru/st/st.php?n=012</t>
        </r>
        <r>
          <rPr>
            <b/>
            <sz val="10"/>
            <color indexed="81"/>
            <rFont val="Tahoma"/>
            <family val="2"/>
          </rPr>
          <t xml:space="preserve"> :
"</t>
        </r>
        <r>
          <rPr>
            <b/>
            <i/>
            <sz val="10"/>
            <color indexed="60"/>
            <rFont val="Tahoma"/>
            <family val="2"/>
          </rPr>
          <t xml:space="preserve">В </t>
        </r>
        <r>
          <rPr>
            <b/>
            <i/>
            <u/>
            <sz val="10"/>
            <color indexed="60"/>
            <rFont val="Tahoma"/>
            <family val="2"/>
          </rPr>
          <t>августе</t>
        </r>
        <r>
          <rPr>
            <b/>
            <i/>
            <sz val="10"/>
            <color indexed="60"/>
            <rFont val="Tahoma"/>
            <family val="2"/>
          </rPr>
          <t xml:space="preserve"> 177-й ИАП был откомандирован на Ляодунский полуостров, где шло формирование 50-й ИАД… Вместе с 29-м ГИАП 177-й полк стал основой этой дивизии. …Прибыв </t>
        </r>
        <r>
          <rPr>
            <b/>
            <i/>
            <u/>
            <sz val="10"/>
            <color indexed="60"/>
            <rFont val="Tahoma"/>
            <family val="2"/>
          </rPr>
          <t>20 ноября в Аншань</t>
        </r>
        <r>
          <rPr>
            <b/>
            <i/>
            <sz val="10"/>
            <color indexed="60"/>
            <rFont val="Tahoma"/>
            <family val="2"/>
          </rPr>
          <t xml:space="preserve">, полк начал усиленно готовиться к боям: пилоты совершали облет района боевых действий и изучали его по карте, проводили интенсивные тренировочные полеты (акцент делался и на групповую слетанность, и на свободный воздушный бой), а также поэскадрильно, чередуясь с летчиками из 29-го ГИАП, стали нести боевые дежурства. </t>
        </r>
        <r>
          <rPr>
            <b/>
            <i/>
            <u/>
            <sz val="10"/>
            <color indexed="60"/>
            <rFont val="Tahoma"/>
            <family val="2"/>
          </rPr>
          <t>27 ноября</t>
        </r>
        <r>
          <rPr>
            <b/>
            <i/>
            <sz val="10"/>
            <color indexed="60"/>
            <rFont val="Tahoma"/>
            <family val="2"/>
          </rPr>
          <t xml:space="preserve"> подготовка завершилась, и в первых числах декабря 177-й ИАП приступил к выполнению боевых заданий</t>
        </r>
        <r>
          <rPr>
            <b/>
            <sz val="10"/>
            <color indexed="81"/>
            <rFont val="Tahoma"/>
            <family val="2"/>
          </rPr>
          <t xml:space="preserve">." 
Поэтому на начало декабря учитываем полный "штат" - 68 человек.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При стандартной помесячной утрате боеспособности (а стандарт брался по Второй смене) по графику на миллиметровке, но</t>
        </r>
        <r>
          <rPr>
            <b/>
            <sz val="9"/>
            <color indexed="10"/>
            <rFont val="Tahoma"/>
            <family val="2"/>
          </rPr>
          <t xml:space="preserve"> уже без учёта пополнений</t>
        </r>
        <r>
          <rPr>
            <b/>
            <sz val="9"/>
            <color indexed="81"/>
            <rFont val="Tahoma"/>
            <family val="2"/>
          </rPr>
          <t xml:space="preserve">, которых 50-я ИАД не получала, утрата составляла 10% в месяц. 
То есть, в середине первого месяца просадка до - 0,95, второго до 0,85.
</t>
        </r>
      </text>
    </comment>
    <comment ref="B4" authorId="0" shapeId="0">
      <text>
        <r>
          <rPr>
            <b/>
            <sz val="9"/>
            <color indexed="60"/>
            <rFont val="Tahoma"/>
            <family val="2"/>
          </rPr>
          <t xml:space="preserve">&gt;&gt; Vitali Acote, 11/8-15 : 455 боевых вылетов по данным штаба 50 ИАД за январь 1951 года и 519 боевых вылетов в таблице. Разница составляет 64 вылета в «плюс»... </t>
        </r>
        <r>
          <rPr>
            <b/>
            <sz val="9"/>
            <color indexed="81"/>
            <rFont val="Tahoma"/>
            <family val="2"/>
          </rPr>
          <t xml:space="preserve">
По данным Набоки 455 БСВ, тогда как по моему расчёту их было 519. Разница составляет 12%. Не много...
Но я исправил.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charset val="1"/>
          </rPr>
          <t>Полный штат двухполковой дивизии.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50-я дивизия, как уже было отмечено, это единственная дивизия, которая не получала пополнений. Поэтому
(см.миллимеировку) она в среднем ежемесячно должна была утрачивать до 10% боеготовности. Так как,</t>
        </r>
        <r>
          <rPr>
            <b/>
            <sz val="9"/>
            <color indexed="10"/>
            <rFont val="Tahoma"/>
            <family val="2"/>
          </rPr>
          <t xml:space="preserve"> в отличии от всех других дивизий она не получала пополнений</t>
        </r>
        <r>
          <rPr>
            <b/>
            <sz val="9"/>
            <color indexed="81"/>
            <rFont val="Tahoma"/>
            <family val="2"/>
          </rPr>
          <t>. Поэтому надо считать так :
- 29 гвиап воюет уже второй месяц и в его середине должен был утратить боеспособность до 85%.
- 177 иап только начал и в середине января утратил свою боеспособность до 95%
А в среднем 50-я ИАД к середине января 1951-го года должна бы "просесть" до 90% от штатного расписания.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Так я считал раньше.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Однако, количество БСВ за январь по данным Набоки было меньше на 64, то для соблюдения балланса суммы БСВ Первой смены, добавляем по 32 БСВ на февраль и март 1951-го поровну.
Тогда 
Точные помесячные цифры БСВ неизвестны - да и будучи известными никаких изменений в искомый результат - боевое напряжение по сменам и периодам, не внесут.
См. также коммент за январь 1951-го.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 xml:space="preserve">Только 28 гвиап 151-ой ГвИАД.
72 гвиап этой же дивизии не использовался из-за низкой активности американской авиации, которая обуславвливалась потерей передовых аэродромов из-за наступления КНД. См.также колонки, описывающие количество самолётов и низкую активность их авиации в марте 1951-го и цитаты из КиТ, сброшенные 27/2-16.  
F-86, например, по документам (см.правую часть таблицы) в феврале выполнили всего 1 боевой вылет. С другими типами, видимо, не лучше, из-за почти полного отсутствия у американцев аэродромной сети.
Поэтому использование всех наличных сил советское командование, возможно, не считало необходимым.
Оставляем цифру 32. </t>
        </r>
      </text>
    </comment>
    <comment ref="D5" authorId="0" shapeId="0">
      <text>
        <r>
          <rPr>
            <b/>
            <sz val="10"/>
            <color indexed="81"/>
            <rFont val="Tahoma"/>
            <family val="2"/>
          </rPr>
          <t>28 гвиап 151-ой ГвИАД в ноябре уже отвоевал 1 месяц.
При «стандартной» помесячной утрате боеспособности (а «стандарт» брался по Второй смене) по графику на миллиметровке : 
- в середине первого месяца, т.е. через полмесяца начала боёв, боеспособность соединений должна составлять 0,98
- через полтора месяца  – 0,92. 
То есть, в середине февраля 28 гвиап должен утратить боеготовность до 0,92.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Так я считал раньше.
Однако, количество БСВ за январь по данным Набоки было меньше на 64, то для соблюдения балланса суммы БСВ Первой смены, добавляем по 32 БСВ на февраль и март 1951-го поровну.
Тогда 
Точные помесячные цифры БСВ неизвестны - да и будучи известными никаких изменений в искомый результат - боевое напряжение по сменам и периодам, не внесут.
См. также коммент за январь 1951-го.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>
      <text>
        <r>
          <rPr>
            <b/>
            <sz val="9"/>
            <color indexed="81"/>
            <rFont val="Tahoma"/>
            <charset val="1"/>
          </rPr>
          <t>Полный штат двухполковой дивизии.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Второй смене)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
В данном случае, т.е. к середине марта 28 гвиап отвоюет уже два с половиной месяца и утратит боеспособность до 0,85, а соседний 72 гвиап только полтора месяца и его боеспособность упадёт до 0,92.
</t>
        </r>
        <r>
          <rPr>
            <b/>
            <sz val="11"/>
            <color indexed="81"/>
            <rFont val="Tahoma"/>
            <family val="2"/>
          </rPr>
          <t>А в среднем до 0,89.</t>
        </r>
      </text>
    </comment>
    <comment ref="B7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Вот теперь 324-я ИАД. 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смены, судя по точным данным 17 иап, он не опускался.
В середине апреля 1951 боеспособность была = 68*0,98=67</t>
        </r>
      </text>
    </comment>
    <comment ref="F7" authorId="1" shapeId="0">
      <text>
        <r>
          <rPr>
            <b/>
            <sz val="9"/>
            <color indexed="81"/>
            <rFont val="Tahoma"/>
            <charset val="1"/>
          </rPr>
          <t xml:space="preserve">Здесь дата дана по каноническим материалам </t>
        </r>
      </text>
    </comment>
    <comment ref="B8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Во 2-й смене дивизии, причём разного по количеству полков составу, вступили в боевые действия в разное время. При этом 303-я ИАД, введённая чуть позже, ещё и вводилась по полкам.
Это не так просто посчитать. Но придётся. 
Тогда получается, что в мае 1951-го 324-я ИАД работает уже второй месяц, а один полк 303-ей только первый. 68*0,92 (потому что 68 пилотов 324-ой ИАД пашут уже второй месяц  + 32 пилота одного полка 303-ей ИАД * 0,98 (0,98 потому что эти 32 пилота воюют только первый месяц). 
Получилось 94 пилота. Что и отражено в формуле.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Схема расчёта та же.
68 пилотов идут уже с коефф. 0,85, а 100 с коефф.0,92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Июль. 68 пилотов идут с коефф.0,79, а 100 с коефф. 0,85.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</rPr>
          <t xml:space="preserve">По линии (т.к. точные данные есть только для 15 сент. 1951, стр.352) на 1-е сентября у Корпуса около 8 100 БВ.
Значит в августе он выполнил 8 100 - 6 690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= 1410 БВ.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Август. 68 пилотов идут с коефф.0,7, а 100 с коефф. 0,79.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по2 934-2 935 БВ в среднем в месяц.
А по мэйлу 19/3-13 я получил от Александра некоторую статистику по боевым и небоевым вылетам 17 иап.
- Сентябрь 1951-го – 604 боевых вылета.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Сентябрь. 68 пилотов идут с коефф.0,6, а 100 с коефф. 0,7.
С этого, или следующего месяца должны поступать массовые пополнения. Так как боевое напряжение высоко.
Кстати, на 15 сентября на стр.351 отмечено число боеспособных экипажей 303-ей и 324-ой дивизий. Их было 121 - больше, чем по моему расчёту . 
У меня только 111. Ошибка 8%.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Сентябрь. Резкое увиличение боевого напряжения из-за роста боевых самолётовылетов. См.миллиметровку. 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Октябрь 1951-го – 592 боевых вылета.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Октябрь. 68 пилотов идут с коефф.0,6 (так как достигнут абсолютный минимум боеспособности 324-ой ИАД, а 100 с коефф. 0,6 и тоже вышла на минимум.
С этого, или с предыдущего месяца должны поступать массовые пополнения. Иначе соединения тряют боеспособность.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Высокое боевое напряжение. Правда, именно в этом месяце и у американцев не меньше.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Ноябрь 1951-го – 853 боевых вылета.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Ноябрь. Обе дивизии воюют на минимуме боеспособности 0,6. Боевое напряжение уже третий месяц подряд превышает аналог для пилотов F-86.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 этом месяце уже в два раза!!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Декабрь 1951-го – 680 боевых вылета.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Декабрь. Несмотря на необходимые массовые пополнения, начавшиеся, видимо с сентября-октября 1951, в декабре опять максимальное боевое напряжение, превосходящее боевое напряжение пилотов Сэйбров в два раза. Вот отсюда и усталость и уколы глюкозы и помощь в выходе из самолёта. Отсюда болезни и т.д. А мы всё думали ППК. Хотя с ним было бы намного легче. 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по мэйлу 19/3-13 я получил от Александра некоторую статистику по боевым и небоевым вылетам 17 иап.
В январе 1952-го 632 боевых вылета
Но самое интересное - стр.366 (в самом низу) и стр.367, где написано : 
</t>
        </r>
        <r>
          <rPr>
            <b/>
            <i/>
            <sz val="9"/>
            <color indexed="60"/>
            <rFont val="Tahoma"/>
            <family val="2"/>
          </rPr>
          <t xml:space="preserve">
"...если в 1952 г. днём за 12 месяцев было призведено 23 539 самолётовылетов, а за месяц в среднем 1 916, то..."</t>
        </r>
        <r>
          <rPr>
            <b/>
            <sz val="9"/>
            <color indexed="81"/>
            <rFont val="Tahoma"/>
            <charset val="1"/>
          </rPr>
          <t xml:space="preserve">
Когда на самом деле не 1 916, а 1 961 - 1 962. Именно столько в среднем до конца года!! </t>
        </r>
      </text>
    </comment>
    <comment ref="C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</t>
        </r>
        <r>
          <rPr>
            <b/>
            <sz val="9"/>
            <color indexed="60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303-ей и 324 ИАД. 34+168 ещё не ушедших ИАД = 202 пилота.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оставшимся 60% (101 боеспособный пилот) 2-ой смены. 101 пилот + 0,5(68) свежей и ещё не начавшей терять боеспособность 97-ой ИАД получится 133 боеспособных (допущенных к боевым вылетам) пилотов. 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 xml:space="preserve">
По мэйлу 19/3-13 я получил от Александра некоторую статистику по боевым и небоевым вылетам 17 иап. В Феврале 1952-го 236 боевых вылета
</t>
        </r>
      </text>
    </comment>
    <comment ref="C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:-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К февралю 1952 324-я ИАД уже вышла с ТВД, а 303-я ещё оствалась.
К её 100 пилотам добавляем 68 прибывших на месяц раньше и уже влетавшихся пилотов 97-ой ИАД и половину (т.к.они начали действовать с середины февраля) ЛС трёхполковой 190-ой ИАД. 
100+68+0,5(100) = 218 пилотов.</t>
        </r>
      </text>
    </comment>
    <comment ref="D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81"/>
            <rFont val="Tahoma"/>
            <family val="2"/>
          </rPr>
          <t xml:space="preserve">
97-я ИАД провоевала месяц и в его середине её боеспособность составила 0,98 от 68 штатных, а 190-я в середине февраля только начала и их по-прежнему 100% от 100 штатных. Но из-за «середины месяца» у 190-ой ИАД берём только половину. И всего боеспособных получится 117.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97-я ИАД начала работу 16 января, а 190-я ИАД 14 фефраля.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Это условная и осреднённая граница. Если её не выбрать, то невозможно получить боевое напряжение по сменам.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Март 1952
Боеспособность 97-ой ИАД упала до 0,92, а 190-ой до 0,98. 
0,92*68+0,98*100=161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19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в апреле с Мукдена на прикрытие взлета и посадки самолетов в Аньдуне. 
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 и получить 168+32=200, так?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штатных пилотов увеличим на 5% и добавим их к штатным пилотам уже воевавших дивизий. И получим : 168+0,05*168=176 штатных пилота.</t>
        </r>
        <r>
          <rPr>
            <b/>
            <sz val="9"/>
            <color indexed="60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Апрель 1952 
</t>
        </r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</t>
        </r>
        <r>
          <rPr>
            <b/>
            <u/>
            <sz val="9"/>
            <color indexed="60"/>
            <rFont val="Tahoma"/>
            <family val="2"/>
          </rPr>
          <t>в апреле с Мукдена</t>
        </r>
        <r>
          <rPr>
            <b/>
            <sz val="9"/>
            <color indexed="60"/>
            <rFont val="Tahoma"/>
            <family val="2"/>
          </rPr>
          <t xml:space="preserve"> на прикрытие взлета и посадки самолетов в Аньдуне. 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иап.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боеспособных пилотов увеличим на 5% и добавим их к боеспособным пилотам уже воевавших дивизий. Силы которых, стали постепенно таять.
И получим : (0,85*68)+(0,92*100) плюс 5% от этого результата. Получится 157.
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0" authorId="0" shapeId="0">
      <text>
        <r>
          <rPr>
            <b/>
            <sz val="9"/>
            <color indexed="60"/>
            <rFont val="Tahoma"/>
            <family val="2"/>
          </rPr>
          <t>&gt;&gt;Vitali Acote, 25/1-12 : (</t>
        </r>
        <r>
          <rPr>
            <b/>
            <sz val="9"/>
            <color indexed="81"/>
            <rFont val="Tahoma"/>
            <family val="2"/>
          </rPr>
          <t>133-я ИАД</t>
        </r>
        <r>
          <rPr>
            <b/>
            <sz val="9"/>
            <color indexed="60"/>
            <rFont val="Tahoma"/>
            <family val="2"/>
          </rPr>
          <t xml:space="preserve">)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
</t>
        </r>
        <r>
          <rPr>
            <b/>
            <sz val="9"/>
            <color indexed="81"/>
            <rFont val="Tahoma"/>
            <family val="2"/>
          </rPr>
          <t xml:space="preserve">А в мае 415 иап уже полностью задействован. Поэтому 168 пилотов двух уже действующих дивизий плюс 32 пилота 415 иап = 200 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Май 1952
</t>
        </r>
        <r>
          <rPr>
            <b/>
            <sz val="9"/>
            <color indexed="60"/>
            <rFont val="Tahoma"/>
            <family val="2"/>
          </rPr>
          <t>&gt;&gt;Vitali Acote, 25/1-12 :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</t>
        </r>
        <r>
          <rPr>
            <b/>
            <sz val="9"/>
            <color indexed="81"/>
            <rFont val="Tahoma"/>
            <family val="2"/>
          </rPr>
          <t xml:space="preserve">
А в мае 415 иап уже полностью задействован. Хотя, судя по фразе «несколько боевых вылетов в район Супхун ГЭС», видимо, вся основная задача лежала всё-таки пока ещё на 3-й смене. Но доказать пока ничего не возможно. Работа КиТ по 97-ой ИАД так и не вышла.
Поэтому считаем так : 0,79*68 (97-я ИАД)+0,85*100 (190-я ИАД) + 0.98*32 (415 иап) = 170 боеспособных.
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По "Дислокации", рис.14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Июнь 1952.
По "Дислокации", рис.14 определяются штатные и по графику миллиметровки (как, впрочем, и до этого) определяем количество боеспособных. 
(0,7*68)+(0,79*100)+(0,92*32)+23 только начавших пилота 147 иап = 179 беспособных.
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2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 </t>
        </r>
        <r>
          <rPr>
            <b/>
            <u/>
            <sz val="9"/>
            <color indexed="60"/>
            <rFont val="Tahoma"/>
            <family val="2"/>
          </rPr>
          <t>1 августа 1952</t>
        </r>
        <r>
          <rPr>
            <b/>
            <sz val="9"/>
            <color indexed="60"/>
            <rFont val="Tahoma"/>
            <family val="2"/>
          </rPr>
          <t xml:space="preserve">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 xml:space="preserve">20 августа совершили летчики 913-го полка, остальные два полка вступили в бой в начале сентября. </t>
        </r>
        <r>
          <rPr>
            <b/>
            <sz val="9"/>
            <color indexed="81"/>
            <rFont val="Tahoma"/>
            <family val="2"/>
          </rPr>
          <t xml:space="preserve">
Несмотря но то, что 32-я и 216-я ИАД уже прибыли, их лётчики в июЛе в боевых действиях пока не участвовали. В июле действовали те же 97-я, 190-я и девяносто пилотов 133-ей ИАД (там без одной эскадрильи). Всего 258 штатных пилота.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ИюЛь 1952
Несмотря но то, что 32-я и 216-я ИАД уже прибыли, их лётчики в июЛе в боевых действиях пока не участвовали. В июле действовали те же 97-я, 190-я и оставшаяся боеспособная часть от девяноста пилотов 133-ей ИАД (там без одной эскадрильи). 
Получается (давайте поподробнее) : 
97-я ИАД – 0,6 от 68 штатных
190-я ИАД – 0,7 от 100 штатных
133-я ИАД без одной (видимо, ночной) эскадрильи – 0,85 от 90 штатных
Итого 147 боеспособных.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3" authorId="0" shapeId="0">
      <text>
        <r>
          <rPr>
            <b/>
            <sz val="9"/>
            <color indexed="60"/>
            <rFont val="Tahoma"/>
            <family val="2"/>
          </rPr>
          <t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</t>
        </r>
        <r>
          <rPr>
            <b/>
            <u/>
            <sz val="9"/>
            <color indexed="60"/>
            <rFont val="Tahoma"/>
            <family val="2"/>
          </rPr>
          <t xml:space="preserve"> 1 августа</t>
        </r>
        <r>
          <rPr>
            <b/>
            <sz val="9"/>
            <color indexed="60"/>
            <rFont val="Tahoma"/>
            <family val="2"/>
          </rPr>
          <t xml:space="preserve"> 1952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>20 августа</t>
        </r>
        <r>
          <rPr>
            <b/>
            <sz val="9"/>
            <color indexed="60"/>
            <rFont val="Tahoma"/>
            <family val="2"/>
          </rPr>
          <t xml:space="preserve"> совершили летчики 913-го полка, остальные два полка вступили в бой в начале сентября. 
</t>
        </r>
        <r>
          <rPr>
            <b/>
            <sz val="9"/>
            <color indexed="81"/>
            <rFont val="Tahoma"/>
            <family val="2"/>
          </rPr>
          <t xml:space="preserve">
Вот август месяц 1952 г. До 10 авг. ещё вели боевые действия 97-я и 190-я ИАД. Это треть месяца, поэтому берём третью часть состава. 168 пилотов*0,33 = 55. 
Добавляем к ним 90 лётчиков (без ночной АЭ) 133-ей ИАД, воевавшей весь месяц. 
Добавляем к ним 100 лётчиков 216-ой ИАД, которая подключилась как раз в начале августа.
И добавляем к ним 100 лётчиков 32-ой ИАД. Но не все 100, т.к. они начали выполять БВ только 20 августа, а пропорционально, т.е. 100*0,33 месяца = 33 лётчика.
Итого получилось, что в августе 1952-го боевые вылеты должны бы выполнять 278 членов лётного состава.  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Август 1952 
Вот август месяц 1952 г. До 10 августа ещё вели боевые действия 97-я и 190-я ИАД. Это треть месяца, поэтому берём третью часть оставшегося боеспособного состава. 
- Вот что осталось от 97-ой ИАД, ведущей бои уже семь месяцев. Опять, что и в прошлом, июЛе месяце 0,6*68=41 боеспособный. Но они летали только треть месяца. Поэтому они сняли боевую нагрузку с остальных не как 41, а всего лишь, как </t>
        </r>
        <r>
          <rPr>
            <b/>
            <u/>
            <sz val="9"/>
            <color indexed="81"/>
            <rFont val="Tahoma"/>
            <family val="2"/>
          </rPr>
          <t>13.</t>
        </r>
        <r>
          <rPr>
            <b/>
            <sz val="9"/>
            <color indexed="81"/>
            <rFont val="Tahoma"/>
            <family val="2"/>
          </rPr>
          <t xml:space="preserve">
- Вот что осталось от 190-ой ИАД, ведущей бои уже шесть месяцев – 0,6*100=60 боеспособных. Они тоже вышли на нижний предел боеспособности. Но и они летали только треть месяца. Поэтому они сняли боевую нагрузку с остальных не как 60, а всего лишь, как </t>
        </r>
        <r>
          <rPr>
            <b/>
            <u/>
            <sz val="9"/>
            <color indexed="81"/>
            <rFont val="Tahoma"/>
            <family val="2"/>
          </rPr>
          <t>20.</t>
        </r>
        <r>
          <rPr>
            <b/>
            <sz val="9"/>
            <color indexed="81"/>
            <rFont val="Tahoma"/>
            <family val="2"/>
          </rPr>
          <t xml:space="preserve">
- Это ещё не всё. К ним нужно добавить боеспособную часть от 90 лётчиков (без ночной АЭ) 133-ей ИАД, воюющей уже третий месяц, хоть и не всё время полным составом, но по графику по t уже вышедшей за это время на «дроп» 0,79. Т.е. в 133-ей ИАД оставалось – 0,79*90=</t>
        </r>
        <r>
          <rPr>
            <b/>
            <u/>
            <sz val="9"/>
            <color indexed="81"/>
            <rFont val="Tahoma"/>
            <family val="2"/>
          </rPr>
          <t xml:space="preserve">71 </t>
        </r>
        <r>
          <rPr>
            <b/>
            <sz val="9"/>
            <color indexed="81"/>
            <rFont val="Tahoma"/>
            <family val="2"/>
          </rPr>
          <t xml:space="preserve">боеспособный пилот.
- Добавляем к ним 100 лётчиков 216-ой ИАД, которая подключилась как раз в начале августа. И в его середине имевшая боеготовность около 0,98. То есть </t>
        </r>
        <r>
          <rPr>
            <b/>
            <u/>
            <sz val="9"/>
            <color indexed="81"/>
            <rFont val="Tahoma"/>
            <family val="2"/>
          </rPr>
          <t>98</t>
        </r>
        <r>
          <rPr>
            <b/>
            <sz val="9"/>
            <color indexed="81"/>
            <rFont val="Tahoma"/>
            <family val="2"/>
          </rPr>
          <t xml:space="preserve"> лётчиков.
- И добавляем к ним 100 только что вступивших в бои лётчиков 32-ой ИАД и имеющей 100% боеготовность. Но не все 100, потому что они начали выполнять БВ только 20 августа, а пропорционально, т.е. 100*0,33 месяца = </t>
        </r>
        <r>
          <rPr>
            <b/>
            <u/>
            <sz val="9"/>
            <color indexed="81"/>
            <rFont val="Tahoma"/>
            <family val="2"/>
          </rPr>
          <t xml:space="preserve">33 </t>
        </r>
        <r>
          <rPr>
            <b/>
            <sz val="9"/>
            <color indexed="81"/>
            <rFont val="Tahoma"/>
            <family val="2"/>
          </rPr>
          <t xml:space="preserve">лётчика.
Итого получилось, что в августе 1952-го к полётам были допущены 235 лётчиков в среднем в месяц. 
</t>
        </r>
      </text>
    </comment>
    <comment ref="F23" authorId="1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один из полков Четвёртой смены (415 иап 133-ей ИАД) первые БВ начал уже в мае 1951-го. Причём уже с АД 1-ой линии.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"Дислокация", рис.18 и до конца.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Сентябрь 1952 
Дальше всё по расходованию боеготовности с её определёнными коэффициентами с минимумом 0,6 – то есть, считаем, как и раньше. 
- 90 «дневных» лётчиков 133-ей ИАД сохраняют только 0,7 боеспособных от штата = 63 человека.
- 216-я ИАД  - 0,92*100= 92 человека
- 32-я ИАД – 0,98*100= 98 человека 
- 578 иап ТОФ, вступивший в бои в конце августа (почитай, в начале сентября 1952) = 32 человека.
Итого в сентябре 285 боеспособных пилота в среднем в месяц. 
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Октябрь 1952 
- 90 «дневных» лётчиков 133-ей ИАД сохраняют минимальные 0,6 боеспособных от штата = 54 человека.
- 216-я ИАД  - 0,85*100= 85 человека
- 32-я ИАД – 0,92*100= 92 человека 
- 578 иап ТОФ, вступивший в бои в конце августа (почитай, в начале сентября 1952) = 32*0,98=31
Итого в октябре 262 боеспособных пилота в среднем в месяц. 
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Ноябрь 1952 
- 90 «дневных» лётчиков 133-ей ИАД сохраняют минимальные 0,6 боеспособных от штата = 54 человека. - 216-я ИАД  - 0,79*100= 79 человека
- 32-я ИАД – 0,85*100= 85 человека 
- 578 иап ТОФ – 0,92*32 = 29 человек
Итого в ноябре 247 боеспособных пилотов в среднем в месяц. 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Декабрь 1952 . В декабре ранее полная 32-я ИАД отдаёт одну эскадрилью. Видимо, для боевых действий ночью. Номер полка не указываю. Тогда баланс становится таким: 
- 90 «дневных» лётчиков 133-ей ИАД сохраняют минимальные 0,6 боеспособных от штата = 54 человека. - 216-я ИАД  - 0,7*100= 70 человек
- 32-я ИАД – 0,79*90= 71 человек 
- 578 иап ТОФ – 0,85*32 = 27 человек
Итого в декабре 222 боеспособных пилотов в среднем в месяц. 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По стр. 366 с января 1953-го значительное увеличение интенсивности БВ.
А на стр.367 указано, что Корпус за 7 месяцев выполнил 18 152 БВ или 2 600 БВ в среднем в месяц. На самом деле около 2 593 до конца боевых действий.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Январь 1953. 
- 90 «дневных» лётчиков 133-ей ИАД сохраняют минимальные 0,6 боеспособных от штата = 54 человека.
- 216-я ИАД  - 0,6*100= 60 человек
- 32-я ИАД – 0,7*90= 63 человек 
- 578 иап ТОФ – 0,79*32 = 25 человек
Итого в декабре 202 боеспособных пилотов в среднем в месяц. 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Февраль 1953. 
Во второй половине января (хотя я здесь пишу «с начала февраля») 578 иап ТОФ выводится с ТВД, а на его место вводится новый Флотский полк – 781 иап. Теперь в баланс (в середине месяца, разумеется, как и для всех описанных периодов) выглядит так :
- 90 «дневных» лётчиков 133-ей ИАД сохраняют минимальные 0,6 боеспособных от штата = 54 человека.
- 216-я ИАД  - 0,6*100= 60 человек
- 32-я ИАД – 0,6*90= 54 человека
- 781 иап ТОФ – 0,98*32= 31 человек 
Итого в декабре 199 боеспособных пилотов в среднем в месяц. 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Март 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0,92*32 = 29 человек
Итого в марте 197 боеспособных пилота в среднем в месяц. 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Апрель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0,85*32 = 27 человек
Итого в апреле 195 боеспособных пилота в среднем в месяц. 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Май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0,79*32 = 25 человек
Итого в мае 193 боеспособных пилота в среднем в месяц. 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Июнь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0,7*32 = 22 человека
Итого в июне 190 боеспособных пилота в среднем в месяц.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ИюЛь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0,6*32 = 19 человека
Итого в июЛе 187 боеспособных пилотов в среднем в месяц. 
</t>
        </r>
      </text>
    </comment>
    <comment ref="B39" authorId="1" shapeId="0">
      <text>
        <r>
          <rPr>
            <b/>
            <sz val="9"/>
            <color indexed="81"/>
            <rFont val="Tahoma"/>
            <charset val="1"/>
          </rPr>
          <t>Эти цифры уже были сброшены в XL "боевое напряжение"
14/10-12</t>
        </r>
      </text>
    </comment>
    <comment ref="A40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доклада полковника Бережного.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"Первый период — с сентября 1951 г. по январь 1952 г. (5 мес.) В этом периоде боевые действия вели авиадивизии полковника Кожедуба [324 ИАД] и полковника Куманичкина [303 ИАД]....Наибольшее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 "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0" authorId="1" shapeId="0">
      <text>
        <r>
          <rPr>
            <b/>
            <sz val="9"/>
            <color indexed="81"/>
            <rFont val="Tahoma"/>
            <family val="2"/>
          </rPr>
          <t>стр.339</t>
        </r>
      </text>
    </comment>
    <comment ref="A41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долада полковника Бережного.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"Второй период — с февраля по июль 1952 г. (6 мес.) 
Боевые действия вели дивизии полковника Шевцова [97 ИАД] и полковника Корнилова [190 ИАД].....
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во втором периоде до 13 боевых вылетов на одного боеготового летчика."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– вот доказательство, что январь в первом периоде «включительно», начали второй период с февраля.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10.5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.5"/>
            <color indexed="39"/>
            <rFont val="Tahoma"/>
            <family val="2"/>
          </rPr>
          <t>"Одновременно снижалось и боевое напряжение — во втором периоде до 13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A42" authorId="0" shapeId="0">
      <text>
        <r>
          <rPr>
            <b/>
            <sz val="10"/>
            <color indexed="60"/>
            <rFont val="Tahoma"/>
            <family val="2"/>
          </rPr>
          <t>Игорь Км, 26/2-08</t>
        </r>
        <r>
          <rPr>
            <b/>
            <sz val="10"/>
            <color indexed="81"/>
            <rFont val="Tahoma"/>
            <family val="2"/>
          </rPr>
          <t xml:space="preserve"> , http://forums.airbase.ru/2007/11/t58366,6--vojna-v-koree-chast-2.html : 
</t>
        </r>
        <r>
          <rPr>
            <b/>
            <sz val="10"/>
            <color indexed="18"/>
            <rFont val="Tahoma"/>
            <family val="2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</t>
        </r>
        <r>
          <rPr>
            <b/>
            <sz val="10"/>
            <color indexed="81"/>
            <rFont val="Tahoma"/>
            <family val="2"/>
          </rPr>
          <t xml:space="preserve">
Из долада полковника Бережного.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"Третий период— с августа по декабрь 1952г. (5 мес.) Боевые действия вели соединения и части полковника Комарова [133 ИАД], полковника Еремина [216 ИАД] , полковника Гроховецкого [32 ИАД] и подполковника Доброва [578 иап ТОФ]...В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 третьем периоде до 10 боевых вылетов на одного боеготового летчика."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Вот доказательство, что июЛь во втором периоде был «включительно». Ясно, если начали третий период с августа.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"Одновременно снижалось и боевое напряжение .... и в третьем периоде до 10 боевых вылетов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J43" authorId="1" shapeId="0">
      <text>
        <r>
          <rPr>
            <b/>
            <sz val="9"/>
            <color indexed="81"/>
            <rFont val="Tahoma"/>
            <family val="2"/>
          </rPr>
          <t>стр.367</t>
        </r>
      </text>
    </comment>
    <comment ref="K46" authorId="1" shapeId="0">
      <text>
        <r>
          <rPr>
            <b/>
            <sz val="9"/>
            <color indexed="81"/>
            <rFont val="Tahoma"/>
            <charset val="1"/>
          </rPr>
          <t>Набока стр.230</t>
        </r>
      </text>
    </comment>
    <comment ref="K47" authorId="1" shapeId="0">
      <text>
        <r>
          <rPr>
            <b/>
            <sz val="9"/>
            <color indexed="81"/>
            <rFont val="Tahoma"/>
            <charset val="1"/>
          </rPr>
          <t xml:space="preserve">23 761 - эта цифра взята на линии между 19 838 БВ (по сумме за 1950 и 1951 годы) и цифрой 43 377 БВ за 1950, 1951 и 1952 годы - промежуточных точек, к сожалению, нет. А точность измерения удельного помесячного боевого напряжения в большой степени зависит от длины участка - чем длиннее, тем меньше точность. 
Единственное, что можно утверждать точно, так это, что эта  цифра будет находится выше фактической точки, указанной Набокой , приходящейся на конец работы Второй смены (конец февраля 1952-го) и равной сумме БВ Первой и Второй смен в
22 058 БВ. Это потому, что фактически (по Набоке) Третья смена начала выполнять (хоть и не всем составом сразу) уже с середины января и за эти полтора месяца какое-то количество БВ успела выполнить. 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  <author>Valentine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Сначала почти такой же график был сброшен 6/5-15 под названием "Официальное количество USAF". Потом под теперичым названием 23/6-15.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См. миллиметровку "Боевые вылеты" по t.
1-я смена дана врозбивку, т.к. по ней есть такие данные. Остальные смены даны не по месяцам (потому что помесячных данных нет) а по осреднённым данным, по имеющимся точно известным "реперам".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См. файл "Дислокация".
- Дивизии 1-ой смены даны по фактическому участию её соединений в боях - вначале с аэродромов Аэроузла, потом только с Первой линии.
- Дивизии 2-ой смены даны по фактическому участию её соединений в боях - только с аэродромов Первой линии (Плацдарма). 
- Дивизии 3-ей смены даны по фактическому участию её соединений в боях. Что означает - со всех аэродромов обеих линий.
- Дивизии 4-ой смены даны по фактическому участию её соединений в боях. Что означает - со всех аэродромов обеих линий.
Примечание : все составы даны по штату, </t>
        </r>
        <r>
          <rPr>
            <b/>
            <sz val="9"/>
            <color indexed="10"/>
            <rFont val="Tahoma"/>
            <family val="2"/>
          </rPr>
          <t>кроме ноября 1950</t>
        </r>
        <r>
          <rPr>
            <b/>
            <sz val="9"/>
            <color indexed="81"/>
            <rFont val="Tahoma"/>
            <family val="2"/>
          </rPr>
          <t xml:space="preserve">, так как этот вопрос решался по согласованию с В.Набокой. Полное цитирование :  
5/1-12 
По статье КиТ «Хроника потерь истребительной элиты» стр.16 по «корейскому» штату в составе полка было 30-34 лётчика, в управлении дивизией – 4. Тогда в среднем 32 лётчика в полку и 4 в упр ИАД и тогда в двухполковой ИАД 68 лётчиков, а в трёхполковой ровно 100. Проверьте, пожалуйста, «картинку» с 1-го по 20-е ноября 1950-го.
8/1-12
Давайте пока только о до 20 ноября – я и здесь-то уже запутался. 
Если учесть ваши последние поправки, то получается всего 111 лётчиков на все четыре полка 28-ой ИАД и 151-ой ГвИАД. Исправлять или оставлять рассчётные КиТ данные по дивизиям двухполкового состава? 
9/1-12
</t>
        </r>
        <r>
          <rPr>
            <b/>
            <sz val="9"/>
            <color indexed="60"/>
            <rFont val="Tahoma"/>
            <family val="2"/>
          </rPr>
          <t>&gt;&gt;Vitali Acote, 9/1-12 : Хотите исправляйте, хотите оставьте.</t>
        </r>
        <r>
          <rPr>
            <b/>
            <sz val="9"/>
            <color indexed="81"/>
            <rFont val="Tahoma"/>
            <family val="2"/>
          </rPr>
          <t xml:space="preserve">
Если исправлять по изложенному вами факту (а это факт), то, поскольку вы написали 
</t>
        </r>
        <r>
          <rPr>
            <b/>
            <i/>
            <sz val="9"/>
            <color indexed="60"/>
            <rFont val="Tahoma"/>
            <family val="2"/>
          </rPr>
          <t>&gt;&gt;Vitali Acote, 7/1-12 : По самолетам правильно, по летчикам нет... &gt;&gt;</t>
        </r>
        <r>
          <rPr>
            <b/>
            <sz val="9"/>
            <color indexed="81"/>
            <rFont val="Tahoma"/>
            <family val="2"/>
          </rPr>
          <t xml:space="preserve">
после исправления получится 124 МиГа и всего 111 лётчиков. То есть машин больше, чем лётного состава. Это возможно?
Поскольку ваши данные по количеству лётного состава являются архивными (т.е. фактическими) вношу изменения в картинку. Должен вам сказать, что я вношу изменения уже четвёртый раз за неделю и когда я вам предлагал перейти на обмен сначала по мэйлу, я прежде всего имел ввиду не грузить форум лишними картинками, экономя место и не сбивая людей с толка.
Однако в данном случае всё ясно – от факта деваться некуда : примерно 124 МиГа и 111 лётчиков, по месту базирования могущих принять участие в боях с 1-го по 20-е ноября 1950-го. Теперь правильно?
10/1-12
</t>
        </r>
        <r>
          <rPr>
            <b/>
            <sz val="9"/>
            <color indexed="60"/>
            <rFont val="Tahoma"/>
            <family val="2"/>
          </rPr>
          <t>&gt;&gt;Vitali Acote, 10/1-12 : Поскольку вы учитываете 4 МиГа из Управлений дивизиями, то следовало бы учитывать и их летный состав, а это - командир, два его зама и штурман. В ноябре, кажется, они реальных боевых вылетов не совершали, но при острой необходимости были готовы к этому. Так, что, наверное стоит добавить к общему списку еще по 2 летчика на дивизию. 
Вообще, вы вроде собирались указывать штатные составы наших частей, а не их фактическое колличество? Истинное число пилотов и самолетов я не знаю, о чем тут уже говорил не раз. Эти данные условные.</t>
        </r>
        <r>
          <rPr>
            <b/>
            <sz val="9"/>
            <color indexed="81"/>
            <rFont val="Tahoma"/>
            <family val="2"/>
          </rPr>
          <t xml:space="preserve">
11/1-12
</t>
        </r>
        <r>
          <rPr>
            <b/>
            <sz val="9"/>
            <color indexed="60"/>
            <rFont val="Tahoma"/>
            <family val="2"/>
          </rPr>
          <t xml:space="preserve">&gt;&gt;Vitali Acote, 11/1-12 : Валентин, я вам дал полную картину, а вы уже решайте, как двигаться дальше. Я выступаю против только если цифры или факты указаны не правильно. </t>
        </r>
        <r>
          <rPr>
            <b/>
            <sz val="9"/>
            <color indexed="81"/>
            <rFont val="Tahoma"/>
            <family val="2"/>
          </rPr>
          <t xml:space="preserve">
 «решайте как двигаться дальше».... «Решаю», для наглядности, максимально упростить пронумерованные периоды – я не могу уследить за передвижением каждого отдельного водила по аэродромам подневно – поэтому такие вещи как переброска отдельных эскадрилий одного и того же полка - здесь 177 Иап с пятнадцатого по двадцать шестое декабря 1950-го года, я обозначил просто «двадцатыми числами».
Вот смотрите что получается по первым трём периодам.
(1) ноябрь 1950-го 28-я ИАД и 151-я Гвиад на Аньшане. А это примерно 124 МиГа и 114 лётчиков.
….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См. миллиметровку "Процент пилотов, допущенных к БВ от штата", основанную на документах постепенного снижения боеспособности не примерах 324-ой и 303-ей ИАД. Этот график сброшен 25/5-13. 
При «стандартной» помесячной утрате боеспособности (а «стандарт» брался по 324-ой и 303-ей ИАД) по графику на миллиметровке : 
- </t>
        </r>
        <r>
          <rPr>
            <b/>
            <sz val="9"/>
            <color indexed="10"/>
            <rFont val="Tahoma"/>
            <family val="2"/>
          </rPr>
          <t>в середине</t>
        </r>
        <r>
          <rPr>
            <b/>
            <sz val="9"/>
            <color indexed="81"/>
            <rFont val="Tahoma"/>
            <family val="2"/>
          </rPr>
          <t xml:space="preserve">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 (может только в паре отдельных дат). Но и, судя по точным данным 17 иап, и не поднимался.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 xml:space="preserve">Airborne sorties by month, by type model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Average crews possessed in committed units, by type model, by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Average crews combat ready in commited units. FY-1953, PDF-</t>
        </r>
        <r>
          <rPr>
            <b/>
            <sz val="9"/>
            <color indexed="10"/>
            <rFont val="Tahoma"/>
            <family val="2"/>
          </rPr>
          <t>59</t>
        </r>
        <r>
          <rPr>
            <b/>
            <sz val="9"/>
            <color indexed="81"/>
            <rFont val="Tahoma"/>
            <family val="2"/>
          </rPr>
          <t>, стр.35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 xml:space="preserve">Отчёт за 1953 FY, стр.32 (PDF стр.56) :
</t>
        </r>
        <r>
          <rPr>
            <b/>
            <sz val="9"/>
            <color indexed="12"/>
            <rFont val="Tahoma"/>
            <family val="2"/>
          </rPr>
          <t xml:space="preserve">http://www.afhso.af.mil/usafstatistics/index.asp   
</t>
        </r>
        <r>
          <rPr>
            <b/>
            <sz val="9"/>
            <color indexed="81"/>
            <rFont val="Tahoma"/>
            <family val="2"/>
          </rPr>
          <t xml:space="preserve">Cреднее за месяц наличное количество самолётов в действующих частях с 1-го ноября 1950 по 27 июЛя 1953 по типам. 
</t>
        </r>
        <r>
          <rPr>
            <b/>
            <sz val="9"/>
            <color indexed="12"/>
            <rFont val="Tahoma"/>
            <family val="2"/>
          </rPr>
          <t>F-86</t>
        </r>
        <r>
          <rPr>
            <b/>
            <sz val="9"/>
            <color indexed="81"/>
            <rFont val="Tahoma"/>
            <family val="2"/>
          </rPr>
          <t xml:space="preserve">, TABLE 13 - AVERAGE AIRCRAFT POSSESSED IN COMMITTED UNITS BY TYPE MODEL BY MONTH - 26 JUNE 1950 THROUGH 27 JULY 1953. 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"Советские асы в небе Кореи", стр.339.
Это были 28-я и 151-я дивизии.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Все боевые вылеты они проводили со 2-й линии.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28-я и 151 дивизии действовали с АД Мукденского аэроузла.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
</t>
        </r>
        <r>
          <rPr>
            <b/>
            <sz val="11"/>
            <color indexed="10"/>
            <rFont val="Tahoma"/>
            <family val="2"/>
          </rPr>
          <t xml:space="preserve">30/10-15 по фактическим данным Набоки вносится поправка !
</t>
        </r>
        <r>
          <rPr>
            <b/>
            <sz val="9"/>
            <color indexed="60"/>
            <rFont val="Tahoma"/>
            <family val="2"/>
          </rPr>
          <t xml:space="preserve">&gt;&gt; Vitali Acote, 26/6-15 : Я смотрю у вас большие проблемы не только с пониманием русского языка, но и но и совестью. Может действительно обратимся к модераторам форума?...
Когда читаешь эти цифры, душа просто преисполняется трепетом... Это ж надо в ноябре и декабре 1950 года дать «% Боеготовых пилотов (экипажей) МиГов - 0,98». И это при том, что 67 иап вообще имел на начало боевых действий всего 21-го лётчика, о чём я написал в этой ветке ещё 08.01.2012 ("62" стр. темы), но ещё раньше - 21.12.2011, на стр."60" я привёл цитату из «Журнала боевых действий 151 ГИАД» о количественном составе 151-й и 28-й дивизий на 19 ноября: «Боевой состав 151 ИАД: 56 экипажей..., 28 ИАД – 43 экипажа 
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Т.е. 99 боеспособных пилота на 19 ноября 1950-го в обеих ИАД. 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60"/>
            <rFont val="Tahoma"/>
            <family val="2"/>
          </rPr>
          <t>&gt;&gt;Vitali Acote, 1/1-12 : ...Сколько конкретно самолетов МиГ-15 было в составе 151 ГИАД в июле 1950 года я не знаю. Думаю, что порядка 120 штук – три полка по 40 истребителей. Дальше уже эти самолеты были разделены между шестью полками (по 30 штук в каждом по штату). В Журнале боевых действий 151 ГИАД первое упоминание о количественном составе приходится на 19 ноября: «Боевой состав 151 ИАД: 56 экипажей, ...., 28 ИАД – 43 экипажа," ..... Здесь, насколько я понимаю, речь идет о боеготовых экипажах и самолетах.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Т.е. 99 боеспособных пилота на 19 ноября 1950-го в обеих ИАД. </t>
        </r>
        <r>
          <rPr>
            <b/>
            <sz val="11"/>
            <color indexed="10"/>
            <rFont val="Tahoma"/>
            <family val="2"/>
          </rPr>
          <t xml:space="preserve">
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</rPr>
          <t>Здесь дата дана по каноническим материалам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"Советские асы в небе Кореи", стр.339.
50-я дивизия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50-я ИАД вела боевые действия в декабре и январе.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50-ой ИАД составило 1196. А по стр.339 количество боевых вылетов в декабре было 677. Дивизия вела боевые действия до 8-го февраля (грубо до конца января). Значит в январе она выполнила 1196-677 = 519 боевых самолёто-вылетов.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
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151-я ГвИАД уже отвтевала 1 месяц и будет воевать ещё 2.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
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</t>
        </r>
      </text>
    </comment>
    <comment ref="B7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Вот теперь 324-я ИАД. 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смены, судя по точным данным 17 иап, он не опускался.
В середине апреля 1951 боеспособность была = 68*0,98=67</t>
        </r>
      </text>
    </comment>
    <comment ref="F7" authorId="1" shapeId="0">
      <text>
        <r>
          <rPr>
            <b/>
            <sz val="9"/>
            <color indexed="81"/>
            <rFont val="Tahoma"/>
            <charset val="1"/>
          </rPr>
          <t xml:space="preserve">Здесь дата дана по каноническим материалам </t>
        </r>
      </text>
    </comment>
    <comment ref="B8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Во 2-й смене дивизии, причём разного по количеству полков составу, вступили в боевые действия в разное время. При этом 303-я ИАД, введённая чуть позже, ещё и вводилась по полкам.
Это не так просто посчитать. Но придётся. 
Тогда получается, что в мае 1951-го 324-я ИАД работает уже второй месяц, а один полк 303-ей только первый. 68*0,92 (потому что 68 пилотов 324-ой ИАД пашут уже второй месяц  + 32 пилота одного полка 303-ей ИАД * 0,98 (0,98 потому что эти 32 пилота воюют только первый месяц). 
Получилось 94 пилота. Что и отражено в формуле.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Схема расчёта та же.
68 пилотов идут уже с коефф. 0,85, а 100 с коефф.0,92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Июль. 68 пилотов идут с коефф.0,79, а 100 с коефф. 0,85.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</rPr>
          <t xml:space="preserve">По линии (т.к. точные данные есть только для 15 сент. 1951, стр.352) на 1-е сентября у Корпуса около 8 100 БВ.
Значит в августе он выполнил 8 100 - 6 690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= 1410 БВ.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Август. 68 пилотов идут с коефф.0,7, а 100 с коефф. 0,79.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по2 934-2 935 БВ в среднем в месяц.
А по мэйлу 19/3-13 я получил от Александра некоторую статистику по боевым и небоевым вылетам 17 иап.
- Сентябрь 1951-го – 604 боевых вылета.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Сентябрь. 68 пилотов идут с коефф.0,6, а 100 с коефф. 0,7.
С этого, или следующего месяца должны поступать массовые пополнения. Так как боевое напряжение высоко.
Кстати, на 15 сентября на стр.351 отмечено число боеспособных экипажей 303-ей и 324-ой дивизий. Их было 121 - больше, чем по моему расчёту . 
У меня только 111. Ошибка 8%.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Сентябрь. Резкое увиличение боевого напряжения из-за роста боевых самолётовылетов. См.миллиметровку. 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Октябрь 1951-го – 592 боевых вылета.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Октябрь. 68 пилотов идут с коефф.0,6 (так как достигнут абсолютный минимум боеспособности 324-ой ИАД, а 100 с коефф. 0,6 и тоже вышла на минимум.
С этого, или с предыдущего месяца должны поступать массовые пополнения. Иначе соединения тряют боеспособность.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Высокое боевое напряжение. Правда, именно в этом месяце и у американцев не меньше.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Ноябрь 1951-го – 853 боевых вылета.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Ноябрь. Обе дивизии воюют на минимуме боеспособности 0,6. Боевое напряжение уже третий месяц подряд превышает аналог для пилотов F-86.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 этом месяце уже в два раза!!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Декабрь 1951-го – 680 боевых вылета.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Декабрь. Несмотря на необходимые массовые пополнения, начавшиеся, видимо с сентября-октября 1951, в декабре опять максимальное боевое напряжение, превосходящее боевое напряжение пилотов Сэйбров в два раза. Вот отсюда и усталость и уколы глюкозы и помощь в выходе из самолёта. Отсюда болезни и т.д. А мы всё думали ППК. Хотя с ним было бы намного легче. 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по мэйлу 19/3-13 я получил от Александра некоторую статистику по боевым и небоевым вылетам 17 иап.
В январе 1952-го 632 боевых вылета
Но самое интересное - стр.366 (в самом низу) и стр.367, где написано : 
</t>
        </r>
        <r>
          <rPr>
            <b/>
            <i/>
            <sz val="9"/>
            <color indexed="60"/>
            <rFont val="Tahoma"/>
            <family val="2"/>
          </rPr>
          <t xml:space="preserve">
"...если в 1952 г. днём за 12 месяцев было призведено 23 539 самолётовылетов, а за месяц в среднем 1 916, то..."</t>
        </r>
        <r>
          <rPr>
            <b/>
            <sz val="9"/>
            <color indexed="81"/>
            <rFont val="Tahoma"/>
            <charset val="1"/>
          </rPr>
          <t xml:space="preserve">
Когда на самом деле не 1 916, а 1 961 - 1 962. Именно столько в среднем до конца года!! </t>
        </r>
      </text>
    </comment>
    <comment ref="C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</t>
        </r>
        <r>
          <rPr>
            <b/>
            <sz val="9"/>
            <color indexed="60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303-ей и 324 ИАД. 34+168 ещё не ушедших ИАД = 202 пилота.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оставшимся 60% (101 боеспособный пилот) 2-ой смены. 101 пилот + 0,5(68) свежей и ещё не начавшей терять боеспособность 97-ой ИАД получится 133 боеспособных (допущенных к боевым вылетам) пилотов. 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 xml:space="preserve">
По мэйлу 19/3-13 я получил от Александра некоторую статистику по боевым и небоевым вылетам 17 иап. В Феврале 1952-го 236 боевых вылета
</t>
        </r>
      </text>
    </comment>
    <comment ref="C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:-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К февралю 1952 324-я ИАД уже вышла с ТВД, а 303-я ещё оствалась.
К её 100 пилотам добавляем 68 прибывших на месяц раньше и уже влетавшихся пилотов 97-ой ИАД и половину (т.к.они начали действовать с середины февраля) ЛС трёхполковой 190-ой ИАД. 
100+68+0,5(100) = 218 пилотов.</t>
        </r>
      </text>
    </comment>
    <comment ref="D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81"/>
            <rFont val="Tahoma"/>
            <family val="2"/>
          </rPr>
          <t xml:space="preserve">
97-я ИАД провоевала месяц и в его середине её боеспособность составила 0,98 от 68 штатных, а 190-я в середине февраля только начала и их по-прежнему 100% от 100 штатных. Но из-за «середины месяца» у 190-ой ИАД берём только половину. И всего боеспособных получится 117.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97-я ИАД начала работу 16 января, а 190-я ИАД 14 фефраля.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Это условная и осреднённая граница. Если её не выбрать, то невозможно получить боевое напряжение по сменам.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Март 1952
Боеспособность 97-ой ИАД упала до 0,92, а 190-ой до 0,98. 
0,92*68+0,98*100=161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19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в апреле с Мукдена на прикрытие взлета и посадки самолетов в Аньдуне. 
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 и получить 168+32=200, так?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штатных пилотов увеличим на 5% и добавим их к штатным пилотам уже воевавших дивизий. И получим : 168+0,05*168=176 штатных пилота.</t>
        </r>
        <r>
          <rPr>
            <b/>
            <sz val="9"/>
            <color indexed="60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Апрель 1952 
</t>
        </r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</t>
        </r>
        <r>
          <rPr>
            <b/>
            <u/>
            <sz val="9"/>
            <color indexed="60"/>
            <rFont val="Tahoma"/>
            <family val="2"/>
          </rPr>
          <t>в апреле с Мукдена</t>
        </r>
        <r>
          <rPr>
            <b/>
            <sz val="9"/>
            <color indexed="60"/>
            <rFont val="Tahoma"/>
            <family val="2"/>
          </rPr>
          <t xml:space="preserve"> на прикрытие взлета и посадки самолетов в Аньдуне. 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иап.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боеспособных пилотов увеличим на 5% и добавим их к боеспособным пилотам уже воевавших дивизий. Силы которых, стали постепенно таять.
И получим : (0,85*68)+(0,92*100) плюс 5% от этого результата. Получится 157.
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0" authorId="0" shapeId="0">
      <text>
        <r>
          <rPr>
            <b/>
            <sz val="9"/>
            <color indexed="60"/>
            <rFont val="Tahoma"/>
            <family val="2"/>
          </rPr>
          <t>&gt;&gt;Vitali Acote, 25/1-12 : (</t>
        </r>
        <r>
          <rPr>
            <b/>
            <sz val="9"/>
            <color indexed="81"/>
            <rFont val="Tahoma"/>
            <family val="2"/>
          </rPr>
          <t>133-я ИАД</t>
        </r>
        <r>
          <rPr>
            <b/>
            <sz val="9"/>
            <color indexed="60"/>
            <rFont val="Tahoma"/>
            <family val="2"/>
          </rPr>
          <t xml:space="preserve">)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
</t>
        </r>
        <r>
          <rPr>
            <b/>
            <sz val="9"/>
            <color indexed="81"/>
            <rFont val="Tahoma"/>
            <family val="2"/>
          </rPr>
          <t xml:space="preserve">А в мае 415 иап уже полностью задействован. Поэтому 168 пилотов двух уже действующих дивизий плюс 32 пилота 415 иап = 200 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Май 1952
</t>
        </r>
        <r>
          <rPr>
            <b/>
            <sz val="9"/>
            <color indexed="60"/>
            <rFont val="Tahoma"/>
            <family val="2"/>
          </rPr>
          <t>&gt;&gt;Vitali Acote, 25/1-12 :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</t>
        </r>
        <r>
          <rPr>
            <b/>
            <sz val="9"/>
            <color indexed="81"/>
            <rFont val="Tahoma"/>
            <family val="2"/>
          </rPr>
          <t xml:space="preserve">
А в мае 415 иап уже полностью задействован. Хотя, судя по фразе «несколько боевых вылетов в район Супхун ГЭС», видимо, вся основная задача лежала всё-таки пока ещё на 3-й смене. Но доказать пока ничего не возможно. Работа КиТ по 97-ой ИАД так и не вышла.
Поэтому считаем так : 0,79*68 (97-я ИАД)+0,85*100 (190-я ИАД) + 0.98*32 (415 иап) = 170 боеспособных.
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По "Дислокации", рис.14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Июнь 1952.
По "Дислокации", рис.14 определяются штатные и по графику миллиметровки (как, впрочем, и до этого) определяем количество боеспособных. 
(0,7*68)+(0,79*100)+(0,92*32)+23 только начавших пилота 147 иап = 179 беспособных.
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2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 </t>
        </r>
        <r>
          <rPr>
            <b/>
            <u/>
            <sz val="9"/>
            <color indexed="60"/>
            <rFont val="Tahoma"/>
            <family val="2"/>
          </rPr>
          <t>1 августа 1952</t>
        </r>
        <r>
          <rPr>
            <b/>
            <sz val="9"/>
            <color indexed="60"/>
            <rFont val="Tahoma"/>
            <family val="2"/>
          </rPr>
          <t xml:space="preserve">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 xml:space="preserve">20 августа совершили летчики 913-го полка, остальные два полка вступили в бой в начале сентября. </t>
        </r>
        <r>
          <rPr>
            <b/>
            <sz val="9"/>
            <color indexed="81"/>
            <rFont val="Tahoma"/>
            <family val="2"/>
          </rPr>
          <t xml:space="preserve">
Несмотря но то, что 32-я и 216-я ИАД уже прибыли, их лётчики в июЛе в боевых действиях пока не участвовали. В июле действовали те же 97-я, 190-я и девяносто пилотов 133-ей ИАД (там без одной эскадрильи). Всего 258 штатных пилота.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ИюЛь 1952
Несмотря но то, что 32-я и 216-я ИАД уже прибыли, их лётчики в июЛе в боевых действиях пока не участвовали. В июле действовали те же 97-я, 190-я и оставшаяся боеспособная часть от девяноста пилотов 133-ей ИАД (там без одной эскадрильи). 
Получается (давайте поподробнее) : 
97-я ИАД – 0,6 от 68 штатных
190-я ИАД – 0,7 от 100 штатных
133-я ИАД без одной (видимо, ночной) эскадрильи – 0,85 от 90 штатных
Итого 147 боеспособных.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3" authorId="0" shapeId="0">
      <text>
        <r>
          <rPr>
            <b/>
            <sz val="9"/>
            <color indexed="60"/>
            <rFont val="Tahoma"/>
            <family val="2"/>
          </rPr>
          <t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</t>
        </r>
        <r>
          <rPr>
            <b/>
            <u/>
            <sz val="9"/>
            <color indexed="60"/>
            <rFont val="Tahoma"/>
            <family val="2"/>
          </rPr>
          <t xml:space="preserve"> 1 августа</t>
        </r>
        <r>
          <rPr>
            <b/>
            <sz val="9"/>
            <color indexed="60"/>
            <rFont val="Tahoma"/>
            <family val="2"/>
          </rPr>
          <t xml:space="preserve"> 1952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>20 августа</t>
        </r>
        <r>
          <rPr>
            <b/>
            <sz val="9"/>
            <color indexed="60"/>
            <rFont val="Tahoma"/>
            <family val="2"/>
          </rPr>
          <t xml:space="preserve"> совершили летчики 913-го полка, остальные два полка вступили в бой в начале сентября. 
</t>
        </r>
        <r>
          <rPr>
            <b/>
            <sz val="9"/>
            <color indexed="81"/>
            <rFont val="Tahoma"/>
            <family val="2"/>
          </rPr>
          <t xml:space="preserve">
Вот август месяц 1952 г. До 10 авг. ещё вели боевые действия 97-я и 190-я ИАД. Это треть месяца, поэтому берём третью часть состава. 168 пилотов*0,33 = 55. 
Добавляем к ним 90 лётчиков (без ночной АЭ) 133-ей ИАД, воевавшей весь месяц. 
Добавляем к ним 100 лётчиков 216-ой ИАД, которая подключилась как раз в начале августа.
И добавляем к ним 100 лётчиков 32-ой ИАД. Но не все 100, т.к. они начали выполять БВ только 20 августа, а пропорционально, т.е. 100*0,33 месяца = 33 лётчика.
Итого получилось, что в августе 1952-го боевые вылеты должны бы выполнять 278 членов лётного состава.  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Август 1952 
Вот август месяц 1952 г. До 10 августа ещё вели боевые действия 97-я и 190-я ИАД. Это треть месяца, поэтому берём третью часть оставшегося боеспособного состава. 
- Вот что осталось от 97-ой ИАД, ведущей бои уже семь месяцев. Опять, что и в прошлом, июЛе месяце 0,6*68=41 боеспособный. Но они летали только треть месяца. Поэтому они сняли боевую нагрузку с остальных не как 41, а всего лишь, как </t>
        </r>
        <r>
          <rPr>
            <b/>
            <u/>
            <sz val="9"/>
            <color indexed="81"/>
            <rFont val="Tahoma"/>
            <family val="2"/>
          </rPr>
          <t>13.</t>
        </r>
        <r>
          <rPr>
            <b/>
            <sz val="9"/>
            <color indexed="81"/>
            <rFont val="Tahoma"/>
            <family val="2"/>
          </rPr>
          <t xml:space="preserve">
- Вот что осталось от 190-ой ИАД, ведущей бои уже шесть месяцев – 0,6*100=60 боеспособных. Они тоже вышли на нижний предел боеспособности. Но и они летали только треть месяца. Поэтому они сняли боевую нагрузку с остальных не как 60, а всего лишь, как </t>
        </r>
        <r>
          <rPr>
            <b/>
            <u/>
            <sz val="9"/>
            <color indexed="81"/>
            <rFont val="Tahoma"/>
            <family val="2"/>
          </rPr>
          <t>20.</t>
        </r>
        <r>
          <rPr>
            <b/>
            <sz val="9"/>
            <color indexed="81"/>
            <rFont val="Tahoma"/>
            <family val="2"/>
          </rPr>
          <t xml:space="preserve">
- Это ещё не всё. К ним нужно добавить боеспособную часть от 90 лётчиков (без ночной АЭ) 133-ей ИАД, воюющей уже третий месяц, хоть и не всё время полным составом, но по графику по t уже вышедшей за это время на «дроп» 0,79. Т.е. в 133-ей ИАД оставалось – 0,79*90=</t>
        </r>
        <r>
          <rPr>
            <b/>
            <u/>
            <sz val="9"/>
            <color indexed="81"/>
            <rFont val="Tahoma"/>
            <family val="2"/>
          </rPr>
          <t xml:space="preserve">71 </t>
        </r>
        <r>
          <rPr>
            <b/>
            <sz val="9"/>
            <color indexed="81"/>
            <rFont val="Tahoma"/>
            <family val="2"/>
          </rPr>
          <t xml:space="preserve">боеспособный пилот.
- Добавляем к ним 100 лётчиков 216-ой ИАД, которая подключилась как раз в начале августа. И в его середине имевшая боеготовность около 0,98. То есть </t>
        </r>
        <r>
          <rPr>
            <b/>
            <u/>
            <sz val="9"/>
            <color indexed="81"/>
            <rFont val="Tahoma"/>
            <family val="2"/>
          </rPr>
          <t>98</t>
        </r>
        <r>
          <rPr>
            <b/>
            <sz val="9"/>
            <color indexed="81"/>
            <rFont val="Tahoma"/>
            <family val="2"/>
          </rPr>
          <t xml:space="preserve"> лётчиков.
- И добавляем к ним 100 только что вступивших в бои лётчиков 32-ой ИАД и имеющей 100% боеготовность. Но не все 100, потому что они начали выполнять БВ только 20 августа, а пропорционально, т.е. 100*0,33 месяца = </t>
        </r>
        <r>
          <rPr>
            <b/>
            <u/>
            <sz val="9"/>
            <color indexed="81"/>
            <rFont val="Tahoma"/>
            <family val="2"/>
          </rPr>
          <t xml:space="preserve">33 </t>
        </r>
        <r>
          <rPr>
            <b/>
            <sz val="9"/>
            <color indexed="81"/>
            <rFont val="Tahoma"/>
            <family val="2"/>
          </rPr>
          <t xml:space="preserve">лётчика.
Итого получилось, что в августе 1952-го к полётам были допущены 235 лётчиков в среднем в месяц. 
</t>
        </r>
      </text>
    </comment>
    <comment ref="F23" authorId="1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один из полков Четвёртой смены (415 иап 133-ей ИАД) первые БВ начал уже в мае 1951-го. Причём уже с АД 1-ой линии.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"Дислокация", рис.18 и до конца.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Сентябрь 1952 
Дальше всё по расходованию боеготовности с её определёнными коэффициентами с минимумом 0,6 – то есть, считаем, как и раньше. 
- 90 «дневных» лётчиков 133-ей ИАД сохраняют только 0,7 боеспособных от штата = 63 человека.
- 216-я ИАД  - 0,92*100= 92 человека
- 32-я ИАД – 0,98*100= 98 человека 
- 578 иап ТОФ, вступивший в бои в конце августа (почитай, в начале сентября 1952) = 32 человека.
Итого в сентябре 285 боеспособных пилота в среднем в месяц. 
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Октябрь 1952 
- 90 «дневных» лётчиков 133-ей ИАД сохраняют минимальные 0,6 боеспособных от штата = 54 человека.
- 216-я ИАД  - 0,85*100= 85 человека
- 32-я ИАД – 0,92*100= 92 человека 
- 578 иап ТОФ, вступивший в бои в конце августа (почитай, в начале сентября 1952) = 32*0,98=31
Итого в октябре 262 боеспособных пилота в среднем в месяц. 
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Ноябрь 1952 
- 90 «дневных» лётчиков 133-ей ИАД сохраняют минимальные 0,6 боеспособных от штата = 54 человека. - 216-я ИАД  - 0,79*100= 79 человека
- 32-я ИАД – 0,85*100= 85 человека 
- 578 иап ТОФ – 0,92*32 = 29 человек
Итого в ноябре 247 боеспособных пилотов в среднем в месяц. 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Декабрь 1952 . В декабре ранее полная 32-я ИАД отдаёт одну эскадрилью. Видимо, для боевых действий ночью. Номер полка не указываю. Тогда баланс становится таким: 
- 90 «дневных» лётчиков 133-ей ИАД сохраняют минимальные 0,6 боеспособных от штата = 54 человека. - 216-я ИАД  - 0,7*100= 70 человек
- 32-я ИАД – 0,79*90= 71 человек 
- 578 иап ТОФ – 0,85*32 = 27 человек
Итого в декабре 222 боеспособных пилотов в среднем в месяц. 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По стр. 366 с января 1953-го значительное увеличение интенсивности БВ.
А на стр.367 указано, что Корпус за 7 месяцев выполнил 18 152 БВ или 2 600 БВ в среднем в месяц. На самом деле около 2 593 до конца боевых действий.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Январь 1953. 
- 90 «дневных» лётчиков 133-ей ИАД сохраняют минимальные 0,6 боеспособных от штата = 54 человека.
- 216-я ИАД  - 0,6*100= 60 человек
- 32-я ИАД – 0,7*90= 63 человек 
- 578 иап ТОФ – 0,79*32 = 25 человек
Итого в декабре 202 боеспособных пилотов в среднем в месяц. 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Февраль 1953. 
Во второй половине января (хотя я здесь пишу «с начала февраля») 578 иап ТОФ выводится с ТВД, а на его место вводится новый Флотский полк – 781 иап. Теперь в баланс (в середине месяца, разумеется, как и для всех описанных периодов) выглядит так :
- 90 «дневных» лётчиков 133-ей ИАД сохраняют минимальные 0,6 боеспособных от штата = 54 человека.
- 216-я ИАД  - 0,6*100= 60 человек
- 32-я ИАД – 0,6*90= 54 человека
- 781 иап ТОФ – 0,98*32= 31 человек 
Итого в декабре 199 боеспособных пилотов в среднем в месяц. 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Март 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0,92*32 = 29 человек
Итого в марте 197 боеспособных пилота в среднем в месяц. 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Апрель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0,85*32 = 27 человек
Итого в апреле 195 боеспособных пилота в среднем в месяц. 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Май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0,79*32 = 25 человек
Итого в мае 193 боеспособных пилота в среднем в месяц. 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Июнь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0,7*32 = 22 человека
Итого в июне 190 боеспособных пилота в среднем в месяц.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ИюЛь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0,6*32 = 19 человека
Итого в июЛе 187 боеспособных пилотов в среднем в месяц. 
</t>
        </r>
      </text>
    </comment>
    <comment ref="B39" authorId="1" shapeId="0">
      <text>
        <r>
          <rPr>
            <b/>
            <sz val="9"/>
            <color indexed="81"/>
            <rFont val="Tahoma"/>
            <charset val="1"/>
          </rPr>
          <t>Эти цифры уже были сброшены в XL "боевое напряжение"
14/10-12</t>
        </r>
      </text>
    </comment>
    <comment ref="A40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доклада полковника Бережного.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"Первый период — с сентября 1951 г. по январь 1952 г. (5 мес.) В этом периоде боевые действия вели авиадивизии полковника Кожедуба [324 ИАД] и полковника Куманичкина [303 ИАД]....Наибольшее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 "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0" authorId="1" shapeId="0">
      <text>
        <r>
          <rPr>
            <b/>
            <sz val="9"/>
            <color indexed="81"/>
            <rFont val="Tahoma"/>
            <family val="2"/>
          </rPr>
          <t>стр.339</t>
        </r>
      </text>
    </comment>
    <comment ref="A41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долада полковника Бережного.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"Второй период — с февраля по июль 1952 г. (6 мес.) 
Боевые действия вели дивизии полковника Шевцова [97 ИАД] и полковника Корнилова [190 ИАД].....
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во втором периоде до 13 боевых вылетов на одного боеготового летчика."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– вот доказательство, что январь в первом периоде «включительно», начали второй период с февраля.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10.5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.5"/>
            <color indexed="39"/>
            <rFont val="Tahoma"/>
            <family val="2"/>
          </rPr>
          <t>"Одновременно снижалось и боевое напряжение — во втором периоде до 13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A42" authorId="0" shapeId="0">
      <text>
        <r>
          <rPr>
            <b/>
            <sz val="10"/>
            <color indexed="60"/>
            <rFont val="Tahoma"/>
            <family val="2"/>
          </rPr>
          <t>Игорь Км, 26/2-08</t>
        </r>
        <r>
          <rPr>
            <b/>
            <sz val="10"/>
            <color indexed="81"/>
            <rFont val="Tahoma"/>
            <family val="2"/>
          </rPr>
          <t xml:space="preserve"> , http://forums.airbase.ru/2007/11/t58366,6--vojna-v-koree-chast-2.html : 
</t>
        </r>
        <r>
          <rPr>
            <b/>
            <sz val="10"/>
            <color indexed="18"/>
            <rFont val="Tahoma"/>
            <family val="2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</t>
        </r>
        <r>
          <rPr>
            <b/>
            <sz val="10"/>
            <color indexed="81"/>
            <rFont val="Tahoma"/>
            <family val="2"/>
          </rPr>
          <t xml:space="preserve">
Из долада полковника Бережного.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"Третий период— с августа по декабрь 1952г. (5 мес.) Боевые действия вели соединения и части полковника Комарова [133 ИАД], полковника Еремина [216 ИАД] , полковника Гроховецкого [32 ИАД] и подполковника Доброва [578 иап ТОФ]...В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 третьем периоде до 10 боевых вылетов на одного боеготового летчика."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Вот доказательство, что июЛь во втором периоде был «включительно». Ясно, если начали третий период с августа.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"Одновременно снижалось и боевое напряжение .... и в третьем периоде до 10 боевых вылетов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J43" authorId="1" shapeId="0">
      <text>
        <r>
          <rPr>
            <b/>
            <sz val="9"/>
            <color indexed="81"/>
            <rFont val="Tahoma"/>
            <family val="2"/>
          </rPr>
          <t>стр.367</t>
        </r>
      </text>
    </comment>
    <comment ref="K46" authorId="1" shapeId="0">
      <text>
        <r>
          <rPr>
            <b/>
            <sz val="9"/>
            <color indexed="81"/>
            <rFont val="Tahoma"/>
            <charset val="1"/>
          </rPr>
          <t>Набока стр.230</t>
        </r>
      </text>
    </comment>
    <comment ref="K47" authorId="1" shapeId="0">
      <text>
        <r>
          <rPr>
            <b/>
            <sz val="9"/>
            <color indexed="81"/>
            <rFont val="Tahoma"/>
            <charset val="1"/>
          </rPr>
          <t xml:space="preserve">23 761 - эта цифра взята на линии между 19 838 БВ (по сумме за 1950 и 1951 годы) и цифрой 43 377 БВ за 1950, 1951 и 1952 годы - промежуточных точек, к сожалению, нет. А точность измерения удельного помесячного боевого напряжения в большой степени зависит от длины участка - чем длиннее, тем меньше точность. 
Единственное, что можно утверждать точно, так это, что эта  цифра будет находится выше фактической точки, указанной Набокой , приходящейся на конец работы Второй смены (конец февраля 1952-го) и равной сумме БВ Первой и Второй смен в
22 058 БВ. Это потому, что фактически (по Набоке) Третья смена начала выполнять (хоть и не всем составом сразу) уже с середины января и за эти полтора месяца какое-то количество БВ успела выполнить. 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Valentine Prigarin</author>
    <author>Valentine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Сначала почти такой же график был сброшен 6/5-15 под названием "Официальное количество USAF". Потом под теперичым названием 23/6-15.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См. миллиметровку "Боевые вылеты" по t.
1-я смена дана врозбивку, т.к. по ней есть такие данные. Остальные смены даны не по месяцам (потому что помесячных данных нет) а по осреднённым данным, по имеющимся точно известным "реперам".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См. файл "Дислокация".
- Дивизии 1-ой смены даны по фактическому участию её соединений в боях - вначале с аэродромов Аэроузла, потом только с Первой линии.
- Дивизии 2-ой смены даны по фактическому участию её соединений в боях - только с аэродромов Первой линии (Плацдарма). 
- Дивизии 3-ей смены даны по фактическому участию её соединений в боях. Что означает - со всех аэродромов обеих линий.
- Дивизии 4-ой смены даны по фактическому участию её соединений в боях. Что означает - со всех аэродромов обеих линий.
Примечание : все составы даны по штату,</t>
        </r>
        <r>
          <rPr>
            <b/>
            <sz val="9"/>
            <color indexed="10"/>
            <rFont val="Tahoma"/>
            <family val="2"/>
          </rPr>
          <t xml:space="preserve"> кроме ноября 1950</t>
        </r>
        <r>
          <rPr>
            <b/>
            <sz val="9"/>
            <color indexed="81"/>
            <rFont val="Tahoma"/>
            <family val="2"/>
          </rPr>
          <t xml:space="preserve">, так как этот вопрос решался по согласованию с В.Набокой. Полное цитирование :  
5/1-12 
По статье КиТ «Хроника потерь истребительной элиты» стр.16 по «корейскому» штату в составе полка было 30-34 лётчика, в управлении дивизией – 4. Тогда в среднем 32 лётчика в полку и 4 в упр ИАД и тогда в двухполковой ИАД 68 лётчиков, а в трёхполковой ровно 100. Проверьте, пожалуйста, «картинку» с 1-го по 20-е ноября 1950-го.
8/1-12
Давайте пока только о до 20 ноября – я и здесь-то уже запутался. 
Если учесть ваши последние поправки, то получается всего 111 лётчиков на все четыре полка 28-ой ИАД и 151-ой ГвИАД. Исправлять или оставлять рассчётные КиТ данные по дивизиям двухполкового состава? 
9/1-12
</t>
        </r>
        <r>
          <rPr>
            <b/>
            <sz val="9"/>
            <color indexed="60"/>
            <rFont val="Tahoma"/>
            <family val="2"/>
          </rPr>
          <t>&gt;&gt;Vitali Acote, 9/1-12 : Хотите исправляйте, хотите оставьте.</t>
        </r>
        <r>
          <rPr>
            <b/>
            <sz val="9"/>
            <color indexed="81"/>
            <rFont val="Tahoma"/>
            <family val="2"/>
          </rPr>
          <t xml:space="preserve">
Если исправлять по изложенному вами факту (а это факт), то, поскольку вы написали 
</t>
        </r>
        <r>
          <rPr>
            <b/>
            <i/>
            <sz val="9"/>
            <color indexed="60"/>
            <rFont val="Tahoma"/>
            <family val="2"/>
          </rPr>
          <t>&gt;&gt;Vitali Acote, 7/1-12 : По самолетам правильно, по летчикам нет... &gt;&gt;</t>
        </r>
        <r>
          <rPr>
            <b/>
            <sz val="9"/>
            <color indexed="81"/>
            <rFont val="Tahoma"/>
            <family val="2"/>
          </rPr>
          <t xml:space="preserve">
после исправления получится 124 МиГа и всего 111 лётчиков. То есть машин больше, чем лётного состава. Это возможно?
Поскольку ваши данные по количеству лётного состава являются архивными (т.е. фактическими) вношу изменения в картинку. Должен вам сказать, что я вношу изменения уже четвёртый раз за неделю и когда я вам предлагал перейти на обмен сначала по мэйлу, я прежде всего имел ввиду не грузить форум лишними картинками, экономя место и не сбивая людей с толка.
Однако в данном случае всё ясно – от факта деваться некуда : примерно 124 МиГа и 111 лётчиков, по месту базирования могущих принять участие в боях с 1-го по 20-е ноября 1950-го. Теперь правильно?
10/1-12
</t>
        </r>
        <r>
          <rPr>
            <b/>
            <sz val="9"/>
            <color indexed="60"/>
            <rFont val="Tahoma"/>
            <family val="2"/>
          </rPr>
          <t>&gt;&gt;Vitali Acote, 10/1-12 : Поскольку вы учитываете 4 МиГа из Управлений дивизиями, то следовало бы учитывать и их летный состав, а это - командир, два его зама и штурман. В ноябре, кажется, они реальных боевых вылетов не совершали, но при острой необходимости были готовы к этому. Так, что, наверное стоит добавить к общему списку еще по 2 летчика на дивизию. 
Вообще, вы вроде собирались указывать штатные составы наших частей, а не их фактическое колличество? Истинное число пилотов и самолетов я не знаю, о чем тут уже говорил не раз. Эти данные условные.</t>
        </r>
        <r>
          <rPr>
            <b/>
            <sz val="9"/>
            <color indexed="81"/>
            <rFont val="Tahoma"/>
            <family val="2"/>
          </rPr>
          <t xml:space="preserve">
11/1-12
</t>
        </r>
        <r>
          <rPr>
            <b/>
            <sz val="9"/>
            <color indexed="60"/>
            <rFont val="Tahoma"/>
            <family val="2"/>
          </rPr>
          <t xml:space="preserve">&gt;&gt;Vitali Acote, 11/1-12 : Валентин, я вам дал полную картину, а вы уже решайте, как двигаться дальше. Я выступаю против только если цифры или факты указаны не правильно. </t>
        </r>
        <r>
          <rPr>
            <b/>
            <sz val="9"/>
            <color indexed="81"/>
            <rFont val="Tahoma"/>
            <family val="2"/>
          </rPr>
          <t xml:space="preserve">
 «решайте как двигаться дальше».... «Решаю», для наглядности, максимально упростить пронумерованные периоды – я не могу уследить за передвижением каждого отдельного водила по аэродромам подневно – поэтому такие вещи как переброска отдельных эскадрилий одного и того же полка - здесь 177 Иап с пятнадцатого по двадцать шестое декабря 1950-го года, я обозначил просто «двадцатыми числами».
Вот смотрите что получается по первым трём периодам.
(1) ноябрь 1950-го 28-я ИАД и 151-я Гвиад на Аньшане. А это примерно 124 МиГа и 114 лётчиков.
….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См. миллиметровку "Процент пилотов, допущенных к БВ от штата", основанную на документах постепенного снижения боеспособности не примерах 324-ой и 303-ей ИАД. Этот график сброшен 25/5-13. 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 (может только в паре отдельных дат). Но и, судя по точным данным 17 иап, и не поднимался.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 xml:space="preserve">Airborne sorties by month, by type model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Average crews possessed in committed units, by type model, by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Average crews combat ready in commited units. FY-1953, PDF-</t>
        </r>
        <r>
          <rPr>
            <b/>
            <sz val="9"/>
            <color indexed="10"/>
            <rFont val="Tahoma"/>
            <family val="2"/>
          </rPr>
          <t>59</t>
        </r>
        <r>
          <rPr>
            <b/>
            <sz val="9"/>
            <color indexed="81"/>
            <rFont val="Tahoma"/>
            <family val="2"/>
          </rPr>
          <t>, стр.35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 xml:space="preserve">Отчёт за 1953 FY, стр.32 (PDF стр.56) :
</t>
        </r>
        <r>
          <rPr>
            <b/>
            <sz val="9"/>
            <color indexed="12"/>
            <rFont val="Tahoma"/>
            <family val="2"/>
          </rPr>
          <t xml:space="preserve">http://www.afhso.af.mil/usafstatistics/index.asp   
</t>
        </r>
        <r>
          <rPr>
            <b/>
            <sz val="9"/>
            <color indexed="81"/>
            <rFont val="Tahoma"/>
            <family val="2"/>
          </rPr>
          <t xml:space="preserve">Cреднее за месяц наличное количество самолётов в действующих частях с 1-го ноября 1950 по 27 июЛя 1953 по типам. 
</t>
        </r>
        <r>
          <rPr>
            <b/>
            <sz val="9"/>
            <color indexed="12"/>
            <rFont val="Tahoma"/>
            <family val="2"/>
          </rPr>
          <t>F-86</t>
        </r>
        <r>
          <rPr>
            <b/>
            <sz val="9"/>
            <color indexed="81"/>
            <rFont val="Tahoma"/>
            <family val="2"/>
          </rPr>
          <t xml:space="preserve">, TABLE 13 - AVERAGE AIRCRAFT POSSESSED IN COMMITTED UNITS BY TYPE MODEL BY MONTH - 26 JUNE 1950 THROUGH 27 JULY 1953. 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"Советские асы в небе Кореи", стр.339.
Это были 28-я и 151-я дивизии.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Все боевые вылеты они проводили со 2-й линии.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28-я и 151 дивизии действовали с АД Мукденского аэроузла.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</rPr>
          <t>Здесь дата дана по каноническим материалам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"Советские асы в небе Кореи", стр.339.
50-я дивизия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50-я ИАД вела боевые действия в декабре и январе.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50-ой ИАД составило 1196. А по стр.339 количество боевых вылетов в декабре было 677. Дивизия вела боевые действия до 8-го февраля (грубо до конца января). Значит в январе она выполнила 1196-677 = 519 боевых самолёто-вылетов.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
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151-я ГвИАД уже отвтевала 1 месяц и будет воевать ещё 2.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
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</t>
        </r>
      </text>
    </comment>
    <comment ref="B7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Вот теперь 324-я ИАД. 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смены, судя по точным данным 17 иап, он не опускался.
В середине апреля 1951 боеспособность была = 68*0,98=67</t>
        </r>
      </text>
    </comment>
    <comment ref="F7" authorId="1" shapeId="0">
      <text>
        <r>
          <rPr>
            <b/>
            <sz val="9"/>
            <color indexed="81"/>
            <rFont val="Tahoma"/>
            <charset val="1"/>
          </rPr>
          <t xml:space="preserve">Здесь дата дана по каноническим материалам </t>
        </r>
      </text>
    </comment>
    <comment ref="B8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Во 2-й смене дивизии, причём разного по количеству полков составу, вступили в боевые действия в разное время. При этом 303-я ИАД, введённая чуть позже, ещё и вводилась по полкам.
Это не так просто посчитать. Но придётся. 
Тогда получается, что в мае 1951-го 324-я ИАД работает уже второй месяц, а один полк 303-ей только первый. 68*0,92 (потому что 68 пилотов 324-ой ИАД пашут уже второй месяц  + 32 пилота одного полка 303-ей ИАД * 0,98 (0,98 потому что эти 32 пилота воюют только первый месяц). 
Получилось 94 пилота. Что и отражено в формуле.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Схема расчёта та же.
68 пилотов идут уже с коефф. 0,85, а 100 с коефф.0,92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charset val="1"/>
          </rPr>
          <t>По книге Набоки, стр.230 на 1-е августа 1951-го колич. боевых вылетов Корпуса составило 6 690 БВ.
Тогда за апрель, май, июнь и июЛь корпус выполнил 6 690 - 2 340 = 4 350 БВ.
В среднем по 1 088-1 087 БВ в месяц.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Июль. 68 пилотов идут с коефф.0,79, а 100 с коефф. 0,85.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</rPr>
          <t xml:space="preserve">По линии (т.к. точные данные есть только для 15 сент. 1951, стр.352) на 1-е сентября у Корпуса около 8 100 БВ.
Значит в августе он выполнил 8 100 - 6 690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= 1410 БВ.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Август. 68 пилотов идут с коефф.0,7, а 100 с коефф. 0,79.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по2 934-2 935 БВ в среднем в месяц.
А по мэйлу 19/3-13 я получил от Александра некоторую статистику по боевым и небоевым вылетам 17 иап.
- Сентябрь 1951-го – 604 боевых вылета.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Сентябрь. 68 пилотов идут с коефф.0,6, а 100 с коефф. 0,7.
С этого, или следующего месяца должны поступать массовые пополнения. Так как боевое напряжение высоко.
Кстати, на 15 сентября на стр.351 отмечено число боеспособных экипажей 303-ей и 324-ой дивизий. Их было 121 - больше, чем по моему расчёту . 
У меня только 111. Ошибка 8%.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Сентябрь. Резкое увиличение боевого напряжения из-за роста боевых самолётовылетов. См.миллиметровку. 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Октябрь 1951-го – 592 боевых вылета.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Октябрь. 68 пилотов идут с коефф.0,6 (так как достигнут абсолютный минимум боеспособности 324-ой ИАД, а 100 с коефф. 0,6 и тоже вышла на минимум.
С этого, или с предыдущего месяца должны поступать массовые пополнения. Иначе соединения тряют боеспособность.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Высокое боевое напряжение. Правда, именно в этом месяце и у американцев не меньше.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Ноябрь 1951-го – 853 боевых вылета.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Ноябрь. Обе дивизии воюют на минимуме боеспособности 0,6. Боевое напряжение уже третий месяц подряд превышает аналог для пилотов F-86.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 этом месяце уже в два раза!!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На 31 дек 1951 (1 янв 1952) Корпус выполнил 19 838 БВ (стр.339 и 363).
Тогда с сентября по декабрь включительно он ваполнил 19 838 - 8 100 (по линии на 1-е сентября) = 11 738 БВ. Или по 2 934-2 935 БВ в среднем в месяц.
А по мэйлу 19/3-13 я получил от Александра некоторую статистику по боевым и небоевым вылетам 17 иап.
- Декабрь 1951-го – 680 боевых вылета.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Декабрь. Несмотря на необходимые массовые пополнения, начавшиеся, видимо с сентября-октября 1951, в декабре опять максимальное боевое напряжение, превосходящее боевое напряжение пилотов Сэйбров в два раза. Вот отсюда и усталость и уколы глюкозы и помощь в выходе из самолёта. Отсюда болезни и т.д. А мы всё думали ППК. Хотя с ним было бы намного легче. 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по мэйлу 19/3-13 я получил от Александра некоторую статистику по боевым и небоевым вылетам 17 иап.
В январе 1952-го 632 боевых вылета
Но самое интересное - стр.366 (в самом низу) и стр.367, где написано : 
</t>
        </r>
        <r>
          <rPr>
            <b/>
            <i/>
            <sz val="9"/>
            <color indexed="60"/>
            <rFont val="Tahoma"/>
            <family val="2"/>
          </rPr>
          <t xml:space="preserve">
"...если в 1952 г. днём за 12 месяцев было призведено 23 539 самолётовылетов, а за месяц в среднем 1 916, то..."</t>
        </r>
        <r>
          <rPr>
            <b/>
            <sz val="9"/>
            <color indexed="81"/>
            <rFont val="Tahoma"/>
            <charset val="1"/>
          </rPr>
          <t xml:space="preserve">
Когда на самом деле не 1 916, а 1 961 - 1 962. Именно столько в среднем до конца года!! </t>
        </r>
      </text>
    </comment>
    <comment ref="C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</t>
        </r>
        <r>
          <rPr>
            <b/>
            <sz val="9"/>
            <color indexed="60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303-ей и 324 ИАД. 34+168 ещё не ушедших ИАД = 202 пилота.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оставшимся 60% (101 боеспособный пилот) 2-ой смены. 101 пилот + 0,5(68) свежей и ещё не начавшей терять боеспособность 97-ой ИАД получится 133 боеспособных (допущенных к боевым вылетам) пилотов. 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 xml:space="preserve">
По мэйлу 19/3-13 я получил от Александра некоторую статистику по боевым и небоевым вылетам 17 иап. В Феврале 1952-го 236 боевых вылета
</t>
        </r>
      </text>
    </comment>
    <comment ref="C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:-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К февралю 1952 324-я ИАД уже вышла с ТВД, а 303-я ещё оствалась.
К её 100 пилотам добавляем 68 прибывших на месяц раньше и уже влетавшихся пилотов 97-ой ИАД и половину (т.к.они начали действовать с середины февраля) ЛС трёхполковой 190-ой ИАД. 
100+68+0,5(100) = 218 пилотов.</t>
        </r>
      </text>
    </comment>
    <comment ref="D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81"/>
            <rFont val="Tahoma"/>
            <family val="2"/>
          </rPr>
          <t xml:space="preserve">
97-я ИАД провоевала месяц и в его середине её боеспособность составила 0,98 от 68 штатных, а 190-я в середине февраля только начала и их по-прежнему 100% от 100 штатных. Но из-за «середины месяца» у 190-ой ИАД берём только половину. И всего боеспособных получится 117.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97-я ИАД начала работу 16 января, а 190-я ИАД 14 фефраля.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Это условная и осреднённая граница. Если её не выбрать, то невозможно получить боевое напряжение по сменам.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Март 1952
Боеспособность 97-ой ИАД упала до 0,92, а 190-ой до 0,98. 
0,92*68+0,98*100=161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19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в апреле с Мукдена на прикрытие взлета и посадки самолетов в Аньдуне. 
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 и получить 168+32=200, так?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штатных пилотов увеличим на 5% и добавим их к штатным пилотам уже воевавших дивизий. И получим : 168+0,05*168=176 штатных пилота.</t>
        </r>
        <r>
          <rPr>
            <b/>
            <sz val="9"/>
            <color indexed="60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Апрель 1952 
</t>
        </r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</t>
        </r>
        <r>
          <rPr>
            <b/>
            <u/>
            <sz val="9"/>
            <color indexed="60"/>
            <rFont val="Tahoma"/>
            <family val="2"/>
          </rPr>
          <t>в апреле с Мукдена</t>
        </r>
        <r>
          <rPr>
            <b/>
            <sz val="9"/>
            <color indexed="60"/>
            <rFont val="Tahoma"/>
            <family val="2"/>
          </rPr>
          <t xml:space="preserve"> на прикрытие взлета и посадки самолетов в Аньдуне. 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иап.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боеспособных пилотов увеличим на 5% и добавим их к боеспособным пилотам уже воевавших дивизий. Силы которых, стали постепенно таять.
И получим : (0,85*68)+(0,92*100) плюс 5% от этого результата. Получится 157.
</t>
        </r>
      </text>
    </comment>
    <comment ref="B20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0" authorId="0" shapeId="0">
      <text>
        <r>
          <rPr>
            <b/>
            <sz val="9"/>
            <color indexed="60"/>
            <rFont val="Tahoma"/>
            <family val="2"/>
          </rPr>
          <t>&gt;&gt;Vitali Acote, 25/1-12 : (</t>
        </r>
        <r>
          <rPr>
            <b/>
            <sz val="9"/>
            <color indexed="81"/>
            <rFont val="Tahoma"/>
            <family val="2"/>
          </rPr>
          <t>133-я ИАД</t>
        </r>
        <r>
          <rPr>
            <b/>
            <sz val="9"/>
            <color indexed="60"/>
            <rFont val="Tahoma"/>
            <family val="2"/>
          </rPr>
          <t xml:space="preserve">)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
</t>
        </r>
        <r>
          <rPr>
            <b/>
            <sz val="9"/>
            <color indexed="81"/>
            <rFont val="Tahoma"/>
            <family val="2"/>
          </rPr>
          <t xml:space="preserve">А в мае 415 иап уже полностью задействован. Поэтому 168 пилотов двух уже действующих дивизий плюс 32 пилота 415 иап = 200 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Май 1952
</t>
        </r>
        <r>
          <rPr>
            <b/>
            <sz val="9"/>
            <color indexed="60"/>
            <rFont val="Tahoma"/>
            <family val="2"/>
          </rPr>
          <t>&gt;&gt;Vitali Acote, 25/1-12 :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</t>
        </r>
        <r>
          <rPr>
            <b/>
            <sz val="9"/>
            <color indexed="81"/>
            <rFont val="Tahoma"/>
            <family val="2"/>
          </rPr>
          <t xml:space="preserve">
А в мае 415 иап уже полностью задействован. Хотя, судя по фразе «несколько боевых вылетов в район Супхун ГЭС», видимо, вся основная задача лежала всё-таки пока ещё на 3-й смене. Но доказать пока ничего не возможно. Работа КиТ по 97-ой ИАД так и не вышла.
Поэтому считаем так : 0,79*68 (97-я ИАД)+0,85*100 (190-я ИАД) + 0.98*32 (415 иап) = 170 боеспособных.
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По "Дислокации", рис.14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Июнь 1952.
По "Дислокации", рис.14 определяются штатные и по графику миллиметровки (как, впрочем, и до этого) определяем количество боеспособных. 
(0,7*68)+(0,79*100)+(0,92*32)+23 только начавших пилота 147 иап = 179 беспособных.
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2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 </t>
        </r>
        <r>
          <rPr>
            <b/>
            <u/>
            <sz val="9"/>
            <color indexed="60"/>
            <rFont val="Tahoma"/>
            <family val="2"/>
          </rPr>
          <t>1 августа 1952</t>
        </r>
        <r>
          <rPr>
            <b/>
            <sz val="9"/>
            <color indexed="60"/>
            <rFont val="Tahoma"/>
            <family val="2"/>
          </rPr>
          <t xml:space="preserve">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 xml:space="preserve">20 августа совершили летчики 913-го полка, остальные два полка вступили в бой в начале сентября. </t>
        </r>
        <r>
          <rPr>
            <b/>
            <sz val="9"/>
            <color indexed="81"/>
            <rFont val="Tahoma"/>
            <family val="2"/>
          </rPr>
          <t xml:space="preserve">
Несмотря но то, что 32-я и 216-я ИАД уже прибыли, их лётчики в июЛе в боевых действиях пока не участвовали. В июле действовали те же 97-я, 190-я и девяносто пилотов 133-ей ИАД (там без одной эскадрильи). Всего 258 штатных пилота.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ИюЛь 1952
Несмотря но то, что 32-я и 216-я ИАД уже прибыли, их лётчики в июЛе в боевых действиях пока не участвовали. В июле действовали те же 97-я, 190-я и оставшаяся боеспособная часть от девяноста пилотов 133-ей ИАД (там без одной эскадрильи). 
Получается (давайте поподробнее) : 
97-я ИАД – 0,6 от 68 штатных
190-я ИАД – 0,7 от 100 штатных
133-я ИАД без одной (видимо, ночной) эскадрильи – 0,85 от 90 штатных
Итого 147 боеспособных.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3" authorId="0" shapeId="0">
      <text>
        <r>
          <rPr>
            <b/>
            <sz val="9"/>
            <color indexed="60"/>
            <rFont val="Tahoma"/>
            <family val="2"/>
          </rPr>
          <t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</t>
        </r>
        <r>
          <rPr>
            <b/>
            <u/>
            <sz val="9"/>
            <color indexed="60"/>
            <rFont val="Tahoma"/>
            <family val="2"/>
          </rPr>
          <t xml:space="preserve"> 1 августа</t>
        </r>
        <r>
          <rPr>
            <b/>
            <sz val="9"/>
            <color indexed="60"/>
            <rFont val="Tahoma"/>
            <family val="2"/>
          </rPr>
          <t xml:space="preserve"> 1952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>20 августа</t>
        </r>
        <r>
          <rPr>
            <b/>
            <sz val="9"/>
            <color indexed="60"/>
            <rFont val="Tahoma"/>
            <family val="2"/>
          </rPr>
          <t xml:space="preserve"> совершили летчики 913-го полка, остальные два полка вступили в бой в начале сентября. 
</t>
        </r>
        <r>
          <rPr>
            <b/>
            <sz val="9"/>
            <color indexed="81"/>
            <rFont val="Tahoma"/>
            <family val="2"/>
          </rPr>
          <t xml:space="preserve">
Вот август месяц 1952 г. До 10 авг. ещё вели боевые действия 97-я и 190-я ИАД. Это треть месяца, поэтому берём третью часть состава. 168 пилотов*0,33 = 55. 
Добавляем к ним 90 лётчиков (без ночной АЭ) 133-ей ИАД, воевавшей весь месяц. 
Добавляем к ним 100 лётчиков 216-ой ИАД, которая подключилась как раз в начале августа.
И добавляем к ним 100 лётчиков 32-ой ИАД. Но не все 100, т.к. они начали выполять БВ только 20 августа, а пропорционально, т.е. 100*0,33 месяца = 33 лётчика.
Итого получилось, что в августе 1952-го боевые вылеты должны бы выполнять 278 членов лётного состава.  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Август 1952 
Вот август месяц 1952 г. До 10 августа ещё вели боевые действия 97-я и 190-я ИАД. Это треть месяца, поэтому берём третью часть оставшегося боеспособного состава. 
- Вот что осталось от 97-ой ИАД, ведущей бои уже семь месяцев. Опять, что и в прошлом, июЛе месяце 0,6*68=41 боеспособный. Но они летали только треть месяца. Поэтому они сняли боевую нагрузку с остальных не как 41, а всего лишь, как </t>
        </r>
        <r>
          <rPr>
            <b/>
            <u/>
            <sz val="9"/>
            <color indexed="81"/>
            <rFont val="Tahoma"/>
            <family val="2"/>
          </rPr>
          <t>13.</t>
        </r>
        <r>
          <rPr>
            <b/>
            <sz val="9"/>
            <color indexed="81"/>
            <rFont val="Tahoma"/>
            <family val="2"/>
          </rPr>
          <t xml:space="preserve">
- Вот что осталось от 190-ой ИАД, ведущей бои уже шесть месяцев – 0,6*100=60 боеспособных. Они тоже вышли на нижний предел боеспособности. Но и они летали только треть месяца. Поэтому они сняли боевую нагрузку с остальных не как 60, а всего лишь, как </t>
        </r>
        <r>
          <rPr>
            <b/>
            <u/>
            <sz val="9"/>
            <color indexed="81"/>
            <rFont val="Tahoma"/>
            <family val="2"/>
          </rPr>
          <t>20.</t>
        </r>
        <r>
          <rPr>
            <b/>
            <sz val="9"/>
            <color indexed="81"/>
            <rFont val="Tahoma"/>
            <family val="2"/>
          </rPr>
          <t xml:space="preserve">
- Это ещё не всё. К ним нужно добавить боеспособную часть от 90 лётчиков (без ночной АЭ) 133-ей ИАД, воюющей уже третий месяц, хоть и не всё время полным составом, но по графику по t уже вышедшей за это время на «дроп» 0,79. Т.е. в 133-ей ИАД оставалось – 0,79*90=</t>
        </r>
        <r>
          <rPr>
            <b/>
            <u/>
            <sz val="9"/>
            <color indexed="81"/>
            <rFont val="Tahoma"/>
            <family val="2"/>
          </rPr>
          <t xml:space="preserve">71 </t>
        </r>
        <r>
          <rPr>
            <b/>
            <sz val="9"/>
            <color indexed="81"/>
            <rFont val="Tahoma"/>
            <family val="2"/>
          </rPr>
          <t xml:space="preserve">боеспособный пилот.
- Добавляем к ним 100 лётчиков 216-ой ИАД, которая подключилась как раз в начале августа. И в его середине имевшая боеготовность около 0,98. То есть </t>
        </r>
        <r>
          <rPr>
            <b/>
            <u/>
            <sz val="9"/>
            <color indexed="81"/>
            <rFont val="Tahoma"/>
            <family val="2"/>
          </rPr>
          <t>98</t>
        </r>
        <r>
          <rPr>
            <b/>
            <sz val="9"/>
            <color indexed="81"/>
            <rFont val="Tahoma"/>
            <family val="2"/>
          </rPr>
          <t xml:space="preserve"> лётчиков.
- И добавляем к ним 100 только что вступивших в бои лётчиков 32-ой ИАД и имеющей 100% боеготовность. Но не все 100, потому что они начали выполнять БВ только 20 августа, а пропорционально, т.е. 100*0,33 месяца = </t>
        </r>
        <r>
          <rPr>
            <b/>
            <u/>
            <sz val="9"/>
            <color indexed="81"/>
            <rFont val="Tahoma"/>
            <family val="2"/>
          </rPr>
          <t xml:space="preserve">33 </t>
        </r>
        <r>
          <rPr>
            <b/>
            <sz val="9"/>
            <color indexed="81"/>
            <rFont val="Tahoma"/>
            <family val="2"/>
          </rPr>
          <t xml:space="preserve">лётчика.
Итого получилось, что в августе 1952-го к полётам были допущены 235 лётчиков в среднем в месяц. 
</t>
        </r>
      </text>
    </comment>
    <comment ref="F23" authorId="1" shapeId="0">
      <text>
        <r>
          <rPr>
            <b/>
            <sz val="9"/>
            <color indexed="81"/>
            <rFont val="Tahoma"/>
            <charset val="1"/>
          </rPr>
          <t>Хотя на самом деле (по данным Набоки) один из полков Четвёртой смены (415 иап 133-ей ИАД) первые БВ начал уже в мае 1951-го. Причём уже с АД 1-ой линии.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"Дислокация", рис.18 и до конца.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Сентябрь 1952 
Дальше всё по расходованию боеготовности с её определёнными коэффициентами с минимумом 0,6 – то есть, считаем, как и раньше. 
- 90 «дневных» лётчиков 133-ей ИАД сохраняют только 0,7 боеспособных от штата = 63 человека.
- 216-я ИАД  - 0,92*100= 92 человека
- 32-я ИАД – 0,98*100= 98 человека 
- 578 иап ТОФ, вступивший в бои в конце августа (почитай, в начале сентября 1952) = 32 человека.
Итого в сентябре 285 боеспособных пилота в среднем в месяц. 
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Октябрь 1952 
- 90 «дневных» лётчиков 133-ей ИАД сохраняют минимальные 0,6 боеспособных от штата = 54 человека.
- 216-я ИАД  - 0,85*100= 85 человека
- 32-я ИАД – 0,92*100= 92 человека 
- 578 иап ТОФ, вступивший в бои в конце августа (почитай, в начале сентября 1952) = 32*0,98=31
Итого в октябре 262 боеспособных пилота в среднем в месяц. 
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Ноябрь 1952 
- 90 «дневных» лётчиков 133-ей ИАД сохраняют минимальные 0,6 боеспособных от штата = 54 человека. - 216-я ИАД  - 0,79*100= 79 человека
- 32-я ИАД – 0,85*100= 85 человека 
- 578 иап ТОФ – 0,92*32 = 29 человек
Итого в ноябре 247 боеспособных пилотов в среднем в месяц. 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 xml:space="preserve">На 1-е января 1953-го (стр.336 и 363) Корпус выполнил 43 377 БВ.
А на 1-е января 1952-го 19 838 БВ (стр.339 и 363). То есть 
23 539 БВ за год. Или 1 961- 1 962 БВ в среднем в месяц.
К сожалению, промежуточных точек нет. Поэтому берём по среднему.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Декабрь 1952 . В декабре ранее полная 32-я ИАД отдаёт одну эскадрилью. Видимо, для боевых действий ночью. Номер полка не указываю. Тогда баланс становится таким: 
- 90 «дневных» лётчиков 133-ей ИАД сохраняют минимальные 0,6 боеспособных от штата = 54 человека. - 216-я ИАД  - 0,7*100= 70 человек
- 32-я ИАД – 0,79*90= 71 человек 
- 578 иап ТОФ – 0,85*32 = 27 человек
Итого в декабре 222 боеспособных пилотов в среднем в месяц. 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По стр. 366 с января 1953-го значительное увеличение интенсивности БВ.
А на стр.367 указано, что Корпус за 7 месяцев выполнил 18 152 БВ или 2 600 БВ в среднем в месяц. На самом деле около 2 593 до конца боевых действий.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Январь 1953. 
- 90 «дневных» лётчиков 133-ей ИАД сохраняют минимальные 0,6 боеспособных от штата = 54 человека.
- 216-я ИАД  - 0,6*100= 60 человек
- 32-я ИАД – 0,7*90= 63 человек 
- 578 иап ТОФ – 0,79*32 = 25 человек
Итого в декабре 202 боеспособных пилотов в среднем в месяц. 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Февраль 1953. 
Во второй половине января (хотя я здесь пишу «с начала февраля») 578 иап ТОФ выводится с ТВД, а на его место вводится новый Флотский полк – 781 иап. Теперь в баланс (в середине месяца, разумеется, как и для всех описанных периодов) выглядит так :
- 90 «дневных» лётчиков 133-ей ИАД сохраняют минимальные 0,6 боеспособных от штата = 54 человека.
- 216-я ИАД  - 0,6*100= 60 человек
- 32-я ИАД – 0,6*90= 54 человека
- 781 иап ТОФ – 0,98*32= 31 человек 
Итого в декабре 199 боеспособных пилотов в среднем в месяц. 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Март 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0,92*32 = 29 человек
Итого в марте 197 боеспособных пилота в среднем в месяц. 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Апрель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0,85*32 = 27 человек
Итого в апреле 195 боеспособных пилота в среднем в месяц. 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Май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0,79*32 = 25 человек
Итого в мае 193 боеспособных пилота в среднем в месяц. 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Июнь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0,7*32 = 22 человека
Итого в июне 190 боеспособных пилота в среднем в месяц.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ИюЛь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0,6*32 = 19 человека
Итого в июЛе 187 боеспособных пилотов в среднем в месяц. 
</t>
        </r>
      </text>
    </comment>
    <comment ref="B39" authorId="1" shapeId="0">
      <text>
        <r>
          <rPr>
            <b/>
            <sz val="9"/>
            <color indexed="81"/>
            <rFont val="Tahoma"/>
            <charset val="1"/>
          </rPr>
          <t>Эти цифры уже были сброшены в XL "боевое напряжение"
14/10-12</t>
        </r>
      </text>
    </comment>
    <comment ref="A40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доклада полковника Бережного.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 xml:space="preserve">"Первый период — с сентября 1951 г. по январь 1952 г. (5 мес.) В этом периоде боевые действия вели авиадивизии полковника Кожедуба [324 ИАД] и полковника Куманичкина [303 ИАД]....Наибольшее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 "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"Наибольшее боевое напряжение было в первом периоде, (сентябрь 51 – январь 52-го) в среднем в месяц производилось до 2400 боевых самолетовылетов или 25 вылетов на боеготовый экипаж."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0" authorId="1" shapeId="0">
      <text>
        <r>
          <rPr>
            <b/>
            <sz val="9"/>
            <color indexed="81"/>
            <rFont val="Tahoma"/>
            <family val="2"/>
          </rPr>
          <t>стр.339</t>
        </r>
      </text>
    </comment>
    <comment ref="A41" authorId="0" shapeId="0">
      <text>
        <r>
          <rPr>
            <b/>
            <sz val="9"/>
            <color indexed="60"/>
            <rFont val="Tahoma"/>
            <family val="2"/>
            <charset val="204"/>
          </rPr>
          <t xml:space="preserve">Игорь Км, 26/2-08 , </t>
        </r>
        <r>
          <rPr>
            <b/>
            <sz val="9"/>
            <color indexed="81"/>
            <rFont val="Tahoma"/>
            <family val="2"/>
            <charset val="204"/>
          </rPr>
          <t xml:space="preserve">http://forums.airbase.ru/2007/11/t58366,6--vojna-v-koree-chast-2.html : 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9"/>
            <color indexed="18"/>
            <rFont val="Tahoma"/>
            <family val="2"/>
            <charset val="204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долада полковника Бережного.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"Второй период — с февраля по июль 1952 г. (6 мес.) 
Боевые действия вели дивизии полковника Шевцова [97 ИАД] и полковника Корнилова [190 ИАД].....
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во втором периоде до 13 боевых вылетов на одного боеготового летчика."</t>
        </r>
        <r>
          <rPr>
            <b/>
            <sz val="9"/>
            <color indexed="60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– вот доказательство, что январь в первом периоде «включительно», начали второй период с февраля.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10.5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.5"/>
            <color indexed="39"/>
            <rFont val="Tahoma"/>
            <family val="2"/>
          </rPr>
          <t>"Одновременно снижалось и боевое напряжение — во втором периоде до 13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A42" authorId="0" shapeId="0">
      <text>
        <r>
          <rPr>
            <b/>
            <sz val="10"/>
            <color indexed="60"/>
            <rFont val="Tahoma"/>
            <family val="2"/>
          </rPr>
          <t>Игорь Км, 26/2-08</t>
        </r>
        <r>
          <rPr>
            <b/>
            <sz val="10"/>
            <color indexed="81"/>
            <rFont val="Tahoma"/>
            <family val="2"/>
          </rPr>
          <t xml:space="preserve"> , http://forums.airbase.ru/2007/11/t58366,6--vojna-v-koree-chast-2.html : 
</t>
        </r>
        <r>
          <rPr>
            <b/>
            <sz val="10"/>
            <color indexed="18"/>
            <rFont val="Tahoma"/>
            <family val="2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</t>
        </r>
        <r>
          <rPr>
            <b/>
            <sz val="10"/>
            <color indexed="81"/>
            <rFont val="Tahoma"/>
            <family val="2"/>
          </rPr>
          <t xml:space="preserve">
Из долада полковника Бережного.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"Третий период— с августа по декабрь 1952г. (5 мес.) Боевые действия вели соединения и части полковника Комарова [133 ИАД], полковника Еремина [216 ИАД] , полковника Гроховецкого [32 ИАД] и подполковника Доброва [578 иап ТОФ]...В дальнейшем активность авиации противника, вследствие понесенных больших потерь от наших истребителей, снижалась. 
Одновременно снижалось и боевое напряжение — в третьем периоде до 10 боевых вылетов на одного боеготового летчика."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Вот доказательство, что июЛь во втором периоде был «включительно». Ясно, если начали третий период с августа.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 xml:space="preserve">Цитата из документа Конференции : </t>
        </r>
        <r>
          <rPr>
            <b/>
            <i/>
            <sz val="10"/>
            <color indexed="39"/>
            <rFont val="Tahoma"/>
            <family val="2"/>
          </rPr>
          <t>"Одновременно снижалось и боевое напряжение .... и в третьем периоде до 10 боевых вылетов на одного боеготового летчика. "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>стр.363</t>
        </r>
      </text>
    </comment>
    <comment ref="J43" authorId="1" shapeId="0">
      <text>
        <r>
          <rPr>
            <b/>
            <sz val="9"/>
            <color indexed="81"/>
            <rFont val="Tahoma"/>
            <family val="2"/>
          </rPr>
          <t>стр.367</t>
        </r>
      </text>
    </comment>
    <comment ref="K46" authorId="1" shapeId="0">
      <text>
        <r>
          <rPr>
            <b/>
            <sz val="9"/>
            <color indexed="81"/>
            <rFont val="Tahoma"/>
            <charset val="1"/>
          </rPr>
          <t>Набока стр.230</t>
        </r>
      </text>
    </comment>
    <comment ref="K47" authorId="1" shapeId="0">
      <text>
        <r>
          <rPr>
            <b/>
            <sz val="9"/>
            <color indexed="81"/>
            <rFont val="Tahoma"/>
            <charset val="1"/>
          </rPr>
          <t xml:space="preserve">23 761 - эта цифра взята на линии между 19 838 БВ (по сумме за 1950 и 1951 годы) и цифрой 43 377 БВ за 1950, 1951 и 1952 годы - промежуточных точек, к сожалению, нет. А точность измерения удельного помесячного боевого напряжения в большой степени зависит от длины участка - чем длиннее, тем меньше точность. 
Единственное, что можно утверждать точно, так это, что эта  цифра будет находится выше фактической точки, указанной Набокой , приходящейся на конец работы Второй смены (конец февраля 1952-го) и равной сумме БВ Первой и Второй смен в
22 058 БВ. Это потому, что фактически (по Набоке) Третья смена начала выполнять (хоть и не всем составом сразу) уже с середины января и за эти полтора месяца какое-то количество БВ успела выполнить. 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Valentine Prigarin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Сначала почти такой же график был сброшен 6/5-15 под названием "Официальное количество USAF"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См. миллиметровку "Боевые вылеты" по t.
1-я смена дана врозбивку, т.к. по ней есть такие данные. Остальные смены даны не по месяцам (потому что помесячных данных нет) а по осреднённым данным, по имеющимся точно известным "реперам".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См. файл "Дислокация".
- Дивизии 1-ой смены даны по фактическому участию её соединений в боях - вначале с аэродромов Аэроузла, потом только с Первой линии.
- Дивизии 2-ой смены даны по фактическому участию её соединений в боях - только с с аэродромов Первой линии (Плацдарма). 
- Дивизии 3-ей смены даны по фактическому участию её соединений в боях. Что означает - со всех аэродромов обеих линий.
- Дивизии 4-ой смены даны по фактическому участию её соединений в боях. Что означает - со всех аэродромов обеих линий.
Примечание : все составы даны по штату,</t>
        </r>
        <r>
          <rPr>
            <b/>
            <sz val="9"/>
            <color indexed="10"/>
            <rFont val="Tahoma"/>
            <family val="2"/>
          </rPr>
          <t xml:space="preserve"> кроме ноября 1950</t>
        </r>
        <r>
          <rPr>
            <b/>
            <sz val="9"/>
            <color indexed="81"/>
            <rFont val="Tahoma"/>
            <family val="2"/>
          </rPr>
          <t xml:space="preserve">, так как этот вопрос решался по согласованию с В.Набокой. Полное цитирование :  
5/1-12 
По статье КиТ «Хроника потерь истребительной элиты» стр.16 по «корейскому» штату в составе полка было 30-34 лётчика, в управлении дивизией – 4. Тогда в среднем 32 лётчика в полку и 4 в упр ИАД и тогда в двухполковой ИАД 68 лётчиков, а в трёхполковой ровно 100. Проверьте, пожалуйста, «картинку» с 1-го по 20-е ноября 1950-го.
8/1-12
Давайте пока только о до 20 ноября – я и здесь-то уже запутался. 
Если учесть ваши последние поправки, то получается всего 111 лётчиков на все четыре полка 28-ой ИАД и 151-ой ГвИАД. Исправлять или оставлять рассчётные КиТ данные по дивизиям двухполкового состава? 
9/1-12
</t>
        </r>
        <r>
          <rPr>
            <b/>
            <sz val="9"/>
            <color indexed="60"/>
            <rFont val="Tahoma"/>
            <family val="2"/>
          </rPr>
          <t>&gt;&gt;Vitali Acote, 9/1-12 : Хотите исправляйте, хотите оставьте.</t>
        </r>
        <r>
          <rPr>
            <b/>
            <sz val="9"/>
            <color indexed="81"/>
            <rFont val="Tahoma"/>
            <family val="2"/>
          </rPr>
          <t xml:space="preserve">
Если исправлять по изложенному вами факту (а это факт), то, поскольку вы написали 
</t>
        </r>
        <r>
          <rPr>
            <b/>
            <i/>
            <sz val="9"/>
            <color indexed="60"/>
            <rFont val="Tahoma"/>
            <family val="2"/>
          </rPr>
          <t>&gt;&gt;Vitali Acote, 7/1-12 : По самолетам правильно, по летчикам нет... &gt;&gt;</t>
        </r>
        <r>
          <rPr>
            <b/>
            <sz val="9"/>
            <color indexed="81"/>
            <rFont val="Tahoma"/>
            <family val="2"/>
          </rPr>
          <t xml:space="preserve">
после исправления получится 124 МиГа и всего 111 лётчиков. То есть машин больше, чем лётного состава. Это возможно?
Поскольку ваши данные по количеству лётного состава являются архивными (т.е. фактическими) вношу изменения в картинку. Должен вам сказать, что я вношу изменения уже четвёртый раз за неделю и когда я вам предлагал перейти на обмен сначала по мэйлу, я прежде всего имел ввиду не грузить форум лишними картинками, экономя место и не сбивая людей с толка.
Однако в данном случае всё ясно – от факта деваться некуда : примерно 124 МиГа и 111 лётчиков, по месту базирования могущих принять участие в боях с 1-го по 20-е ноября 1950-го. Теперь правильно?
10/1-12
</t>
        </r>
        <r>
          <rPr>
            <b/>
            <sz val="9"/>
            <color indexed="60"/>
            <rFont val="Tahoma"/>
            <family val="2"/>
          </rPr>
          <t>&gt;&gt;Vitali Acote, 10/1-12 : Поскольку вы учитываете 4 МиГа из Управлений дивизиями, то следовало бы учитывать и их летный состав, а это - командир, два его зама и штурман. В ноябре, кажется, они реальных боевых вылетов не совершали, но при острой необходимости были готовы к этому. Так, что, наверное стоит добавить к общему списку еще по 2 летчика на дивизию. 
Вообще, вы вроде собирались указывать штатные составы наших частей, а не их фактическое колличество? Истинное число пилотов и самолетов я не знаю, о чем тут уже говорил не раз. Эти данные условные.</t>
        </r>
        <r>
          <rPr>
            <b/>
            <sz val="9"/>
            <color indexed="81"/>
            <rFont val="Tahoma"/>
            <family val="2"/>
          </rPr>
          <t xml:space="preserve">
11/1-12
</t>
        </r>
        <r>
          <rPr>
            <b/>
            <sz val="9"/>
            <color indexed="60"/>
            <rFont val="Tahoma"/>
            <family val="2"/>
          </rPr>
          <t xml:space="preserve">&gt;&gt;Vitali Acote, 11/1-12 : Валентин, я вам дал полную картину, а вы уже решайте, как двигаться дальше. Я выступаю против только если цифры или факты указаны не правильно. </t>
        </r>
        <r>
          <rPr>
            <b/>
            <sz val="9"/>
            <color indexed="81"/>
            <rFont val="Tahoma"/>
            <family val="2"/>
          </rPr>
          <t xml:space="preserve">
 «решайте как двигаться дальше».... «Решаю», для наглядности, максимально упростить пронумерованные периоды – я не могу уследить за передвижением каждого отдельного водила по аэродромам подневно – поэтому такие вещи как переброска отдельных эскадрилий одного и того же полка - здесь 177 Иап с пятнадцатого по двадцать шестое декабря 1950-го года, я обозначил просто «двадцатыми числами».
Вот смотрите что получается по первым трём периодам.
(1) ноябрь 1950-го 28-я ИАД и 151-я Гвиад на Аньшане. А это примерно 124 МиГа и 114 лётчиков.
….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См. миллиметровку "Процент пилотов, допущенных к БВ от штата", основанную на документах постепенного снижения боеспособности не примерах 324-ой и 303-ей ИАД. Этот график сброшен 25/5-13.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 xml:space="preserve">Airborne sorties by month, by type model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Average crews possessed in committed units, by type model, by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Average crews combat ready in commited units. FY-1953, PDF-</t>
        </r>
        <r>
          <rPr>
            <b/>
            <sz val="9"/>
            <color indexed="10"/>
            <rFont val="Tahoma"/>
            <family val="2"/>
          </rPr>
          <t>59</t>
        </r>
        <r>
          <rPr>
            <b/>
            <sz val="9"/>
            <color indexed="81"/>
            <rFont val="Tahoma"/>
            <family val="2"/>
          </rPr>
          <t>, стр.35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 xml:space="preserve">Отчёт за 1953 FY, стр.32 (PDF стр.56) :
</t>
        </r>
        <r>
          <rPr>
            <b/>
            <sz val="9"/>
            <color indexed="12"/>
            <rFont val="Tahoma"/>
            <family val="2"/>
          </rPr>
          <t xml:space="preserve">http://www.afhso.af.mil/usafstatistics/index.asp   
</t>
        </r>
        <r>
          <rPr>
            <b/>
            <sz val="9"/>
            <color indexed="81"/>
            <rFont val="Tahoma"/>
            <family val="2"/>
          </rPr>
          <t xml:space="preserve">Cреднее за месяц наличное количество самолётов в действующих частях с 1-го ноября 1950 по 27 июЛя 1953 по типам. 
</t>
        </r>
        <r>
          <rPr>
            <b/>
            <sz val="9"/>
            <color indexed="12"/>
            <rFont val="Tahoma"/>
            <family val="2"/>
          </rPr>
          <t>F-86</t>
        </r>
        <r>
          <rPr>
            <b/>
            <sz val="9"/>
            <color indexed="81"/>
            <rFont val="Tahoma"/>
            <family val="2"/>
          </rPr>
          <t xml:space="preserve">, TABLE 13 - AVERAGE AIRCRAFT POSSESSED IN COMMITTED UNITS BY TYPE MODEL BY MONTH - 26 JUNE 1950 THROUGH 27 JULY 1953. 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"Советские асы в небе Кореи", стр.339.
Это были 28-я и 151-я дивизии.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Все боевые вылеты они проводили со 2-й линии.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"Советские асы в небе Кореи", стр.339.
50-я дивизия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 xml:space="preserve">50-я ИАД вела боевые действия в декабре и январе.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50-ой ИАД составило 1196. А по стр.339 количество боевых вылетов в деабре было 677. Дивизия вела боевые действия до 8-го февраля (грубо до конца января). Значит в январе она выполнила 1196-677 = 519 боевых самолёто-вылетов.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
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151-я ГвИАД уже отвтевала 1 месяц и будет воевать ещё 2.
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По книге "Советские асы в небе Кореи", стр.352 общее количество боевых вылетов 151-ой ГвИАД составило 993. А по стр.339 количество боевых вылетов в ноябре  было 251. Дивизия вела боевые действия до начала апреля (грубо до конца марта). Значит за эти два месяца её второй базировки на Аньдун она выполнила 993-251 = 742 боевых самолёто-вылета. Примерно по 371 вылету в месяц. 
 И в эти два месяца она была единственной действующей дивизией.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 он не опускался. Но и, судя по точным данным 17 иап, и не поднимался. 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Вот теперь 324-я ИАД. При «стандартной» помесячной утрате боеспособности (а «стандарт» брался по 324-ой и 303-ей ИАД) по графику на миллиметровке : 
-в середине первого месяца, т.е. через полмесяца начала боёв, боеспособность соединений составила 0,98
- через полтора месяца  – 0,92
- через два с половиной месяца  – 0,85
- через три с половиной месяца  – 0,79
- через четыре с половиной месяцев  – 0,7
- через пять с половиной месяцев  – 0,6
Ниже 0,6 в дивизиях Второй смены, судя по точным данным 17 иап, он не опускался.
В середине апреля 1951 боеспособность была = 68*0,98=67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Во 2-й смене дивизии, причём разного по количеству полков составу, вступили в боевые действия в разное время. При этом 303-я ИАД, введённая чуть позже, ещё и вводилась по полкам.
Это не так просто посчитать. Но придётся. 
Тогда получается, что в мае 1951-го 324-я ИАД работает уже второй месяц, а один полк 303-ей только первый. 68*0,92 (потому что 68 пилотов 324-ой ИАД пашут уже второй месяц  + 32 пилота одного полка 303-ей ИАД * 0,98 (0,98 потому что эти 32 пилота воюют только первый месяц). 
Получилось 94 пилота. Что и отражено в формуле.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Схема расчёта та же.
68 пилотов идут уже с коефф. 0,85, а 100 с коефф.0,92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Июль. 68 пилотов идут с коефф.0,79, а 100 с коефф. 0,85.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Август. 68 пилотов идут с коефф.0,7, а 100 с коефф. 0,79.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А по мэйлу 19/3-13 я получил от Александра некоторую статистику по боевым и небоевым вылетам 17 иап.
- Сентябрь 1951-го – 604 боевых вылета.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Сентябрь. 68 пилотов идут с коефф.0,6, а 100 с коефф. 0,7.
С этого, или следующего месяца должны поступать массовые пополнения. Так как боевое напряжение высоко.
Кстати, на 15 сентября на стр.351 отмечено число боеспособных экипажей - 121.
Ошибка 8%.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Сентябрь. Резкое увиличение боевого напряжения.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 xml:space="preserve">по мэйлу 19/3-13 я получил от Александра некоторую статистику по боевым и небоевым вылетам 17 иап.
октябре уже 592 боевых 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Октябрь. 68 пилотов идут с коефф.0,6 (так как достигнут абсолютный минимум боеспособности 324-ой ИАД, а 100 с коефф. 0,6 и тоже вышла на минимум.
С этого, или с предыдущего месяца должны поступать массовые пополнения. Иначе соединения тряют боеспособность.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Высокое боевое напряжение. Правда, именно в этом месяце и у американцев не меньше.</t>
        </r>
      </text>
    </comment>
    <comment ref="B14" authorId="0" shapeId="0">
      <text>
        <r>
          <rPr>
            <b/>
            <sz val="9"/>
            <color indexed="81"/>
            <rFont val="Tahoma"/>
            <charset val="1"/>
          </rPr>
          <t xml:space="preserve">по мэйлу 19/3-13 я получил от Александра некоторую статистику по боевым и небоевым вылетам 17 иап.
В ноябре 853 боевых 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Ноябрь. Обе дивизии воюют на минимуме боеспособности 0,6. Боевое напряжение уже третий месяц подряд превышает аналог для пилотов F-86.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В этом месяце уже в два раза!!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мэйлу 19/3-13 я получил от Александра некоторую статистику по боевым и небоевым вылетам 17 иап.
В декабре 680 боевых вылетов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Декабрь. Несмотря на необходимые массовые пополнения, начавшиеся, видимо с сентября-октября 1951, в декабре опять максимальное боевое напряжение, превосходящее боевое напряжение пилотов Сэйбров в два раза. Вот отсюда и усталость и уколы глюкозы и помощь в выходе из самолёта. Отсюда болезни и т.д. А мы всё думали ППК. Хотя с ним было бы намного легче. 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Предельное боевое напряжение.
Превышающее американское в два раза!!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по мэйлу 19/3-13 я получил от Александра некоторую статистику по боевым и небоевым вылетам 17 иап.
В январе 1952-го 632 боевых вылета
</t>
        </r>
      </text>
    </comment>
    <comment ref="C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</t>
        </r>
        <r>
          <rPr>
            <b/>
            <sz val="9"/>
            <color indexed="60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303-ей и 324 ИАД. 34+168 ещё не ушедших ИАД = 202 пилота.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Третий состав 64 ИАК начинает свой отсчет с директивы Военного Министра от 15 декабря 1951 года, которая предписывала заменить две дивизии ВВС на две дивизии ПВО. 
- Первой в начале января 1952 года прибыла из Подмосковья в Аньдун 97 ИАД (16 ИАП и 148 ГИАП). Летный состав дивизии получил самолеты от убывавшей в Союз 324 ИАД, а также весь ее технический состав. Первые боевые вылеты летчики 97 ИАД произвели </t>
        </r>
        <r>
          <rPr>
            <b/>
            <u/>
            <sz val="9"/>
            <color indexed="60"/>
            <rFont val="Tahoma"/>
            <family val="2"/>
          </rPr>
          <t>16 января.</t>
        </r>
        <r>
          <rPr>
            <b/>
            <sz val="9"/>
            <color indexed="81"/>
            <rFont val="Tahoma"/>
            <family val="2"/>
          </rPr>
          <t xml:space="preserve">
Если первые БВ 97-ой ИАД были в середине января 1952, то надо брать 0,5 её ЛС и добавлять к оставшимся 60% (101 боеспособный пилот) 2-ой смены. 101 пилот + 0,5(68) свежей и ещё не начавшей терять боеспособность 97-ой ИАД получится 133 боеспособных (допущенных к боевым вылетам) пилотов. 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 xml:space="preserve">по мэйлу 19/3-13 я получил от Александра некоторую статистику по боевым и небоевым вылетам 17 иап.
за неполный февраль 1952-го – 232 боевых вылета.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:-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К февралю 1952 324-я ИАД уже вышла с ТВД, а 303-я ещё оствавлась.
К её 100 пилотам добавляем 68 прибывших на месяц раньше и уже влетавшихся пилотов 97-ой ИАД и половину (т.к.они начали действовать с середины февраля) ЛС трёхполковой 190-ой ИАД. 
100+68+0,5(100) = 218 пилотов.</t>
        </r>
      </text>
    </comment>
    <comment ref="D17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Второй в начале февраля прибыла из Приморья 190 ИАД (256 ИАП, 494 ИАП и 821 ИАП). 494-й полк расположился в Аньдуне, а два других в Мяогоу. 190 ИАД получила часть МиГ-15бис с завода и оставшиеся машины 303 ИАД, а также весь ее технический состав. Первые боевые вылеты летчики 190 ИАД произвели </t>
        </r>
        <r>
          <rPr>
            <b/>
            <u/>
            <sz val="9"/>
            <color indexed="60"/>
            <rFont val="Tahoma"/>
            <family val="2"/>
          </rPr>
          <t>14 февраля</t>
        </r>
        <r>
          <rPr>
            <b/>
            <sz val="9"/>
            <color indexed="81"/>
            <rFont val="Tahoma"/>
            <family val="2"/>
          </rPr>
          <t xml:space="preserve">
97-я ИАД провоевала месяц и в его середине её боеспособность составила 0,98 от 68 штатных, а 190-я в середине февраля только начала и их по-прежнему 100% от 100 штатных. Но из-за «середины месяца» у 190-ой ИАД берём только половину. И всего боеспособных получится 117.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Март 1952
Боеспособность 97-ой ИАД упала до 0,92, а 190-ой до 0,98. 
0,92*68+0,98*100=161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в апреле с Мукдена на прикрытие взлета и посадки самолетов в Аньдуне. 
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 и получить 168+32=200, так?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штатных пилотов увеличим на 5% и добавим их к штатным пилотам уже воевавших дивизий. И получим : 168+0,05*168=176 штатных пилота.</t>
        </r>
        <r>
          <rPr>
            <b/>
            <sz val="9"/>
            <color indexed="60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Апрель 1952 
</t>
        </r>
        <r>
          <rPr>
            <b/>
            <sz val="9"/>
            <color indexed="60"/>
            <rFont val="Tahoma"/>
            <family val="2"/>
          </rPr>
          <t xml:space="preserve">&gt;&gt;Vitali Acote, 25/1-12 : 133 ИАД прибыла из Ярославля в Мукден в начале апреля 1952 года, имея в составе три полка. Первыми начали боевые действия летчики 415 иап, вылетавшие </t>
        </r>
        <r>
          <rPr>
            <b/>
            <u/>
            <sz val="9"/>
            <color indexed="60"/>
            <rFont val="Tahoma"/>
            <family val="2"/>
          </rPr>
          <t>в апреле с Мукдена</t>
        </r>
        <r>
          <rPr>
            <b/>
            <sz val="9"/>
            <color indexed="60"/>
            <rFont val="Tahoma"/>
            <family val="2"/>
          </rPr>
          <t xml:space="preserve"> на прикрытие взлета и посадки самолетов в Аньдуне. </t>
        </r>
        <r>
          <rPr>
            <b/>
            <sz val="9"/>
            <color indexed="81"/>
            <rFont val="Tahoma"/>
            <family val="2"/>
          </rPr>
          <t xml:space="preserve">
Тогда, казалось бы, к ЛС 97-ой и 190-ой ИАД надо прибавить пилотов 415 иап. Однако количество боевых самолёто-вылетов 415 иап с  аэродрома Мукденского аэроузла не указано. Если, допустим, их было 100, то по отношению к общему количеству боевых самолёто-вылетов в апреле 1952-го в 2 100, это составит всего 100/2100=5%. Тогда и количество боеспособных пилотов увеличим на 5% и добавим их к боеспособным пилотам уже воевавших дивизий. Силы которых, стали постепенно таять.
И получим : (0,85*68)+(0,92*100) плюс 5% от этого результата. Получится 157.
</t>
        </r>
      </text>
    </comment>
    <comment ref="C20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
</t>
        </r>
        <r>
          <rPr>
            <b/>
            <sz val="9"/>
            <color indexed="81"/>
            <rFont val="Tahoma"/>
            <family val="2"/>
          </rPr>
          <t xml:space="preserve">А в мае 415 иап уже полностью задействован. Поэтому 168 пилотов двух уже действующих дивизий плюс 32 пилота 415 иап = 200 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Май 1952
</t>
        </r>
        <r>
          <rPr>
            <b/>
            <sz val="9"/>
            <color indexed="60"/>
            <rFont val="Tahoma"/>
            <family val="2"/>
          </rPr>
          <t>&gt;&gt;Vitali Acote, 25/1-12 : 29 апреля 415-й полк перебазировался в Аньдун, с которого в мае совершил несколько боевых вылетов в район Супхун ГЭС. Вторым в мае начал боевые действия с Мукдена 147 ГИАП. 726 ИАП продолжал подготовку к боевым действиям в Мукдене.</t>
        </r>
        <r>
          <rPr>
            <b/>
            <sz val="9"/>
            <color indexed="81"/>
            <rFont val="Tahoma"/>
            <family val="2"/>
          </rPr>
          <t xml:space="preserve">
А в мае 415 иап уже полностью задействован. Хотя, судя по фразе «несколько боевых вылетов в район Супхун ГЭС», видимо, вся основная задача лежала всё-таки пока ещё на 3-й смене. Но доказать пока ничего не возможно. Работа КиТ по 97-ой ИАД так и не вышла.
Поэтому считаем так : 0,79*68 (97-я ИАД)+0,85*100 (190-я ИАД) + 0.98*32 (415 иап) = 170 боеспособных.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По "Дислокации", рис.14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Июнь 1952.
По "Дислокации", рис.14 определяются штатные и по графику миллиметровки (как, впрочем, и до этого) определяем количество боеспособных. 
(0,7*68)+(0,79*100)+(0,92*32)+23 только начавших пилота 147 иап = 179 беспособных.
</t>
        </r>
      </text>
    </comment>
    <comment ref="C22" authorId="0" shapeId="0">
      <text>
        <r>
          <rPr>
            <b/>
            <sz val="9"/>
            <color indexed="60"/>
            <rFont val="Tahoma"/>
            <family val="2"/>
          </rPr>
          <t xml:space="preserve"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 </t>
        </r>
        <r>
          <rPr>
            <b/>
            <u/>
            <sz val="9"/>
            <color indexed="60"/>
            <rFont val="Tahoma"/>
            <family val="2"/>
          </rPr>
          <t>1 августа 1952</t>
        </r>
        <r>
          <rPr>
            <b/>
            <sz val="9"/>
            <color indexed="60"/>
            <rFont val="Tahoma"/>
            <family val="2"/>
          </rPr>
          <t xml:space="preserve">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 xml:space="preserve">20 августа совершили летчики 913-го полка, остальные два полка вступили в бой в начале сентября. </t>
        </r>
        <r>
          <rPr>
            <b/>
            <sz val="9"/>
            <color indexed="81"/>
            <rFont val="Tahoma"/>
            <family val="2"/>
          </rPr>
          <t xml:space="preserve">
Несмотря но то, что 32-я и 216-я ИАД уже прибыли, их лётчики в июЛе в боевых действиях пока не участвовали. В июле действтали те же 97-я, 190-я и девяносто пилотов 133-ей ИАД (там без одной эскадрильи). Всего 258 штатных пилота.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ИюЛь 1952
Несмотря но то, что 32-я и 216-я ИАД уже прибыли, их лётчики в июЛе в боевых действиях пока не участвовали. В июле действовали те же 97-я, 190-я и оставшаяся боеспособная часть от девяноста пилотов 133-ей ИАД (там без одной эскадрильи). 
Получается (давайте поподробнее) : 
97-я ИАД – 0,6 от 68 штатных
190-я ИАД – 0,7 от 100 штатных
133-я ИАД без одной (видимо, ночной) эскадрильи – 0,85 от 90 штатных
Итого 147 боеспособных.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>
      <text>
        <r>
          <rPr>
            <b/>
            <sz val="9"/>
            <color indexed="60"/>
            <rFont val="Tahoma"/>
            <family val="2"/>
          </rPr>
          <t>&gt;&gt;Vitali Acote, 25/1-12 : В середине июля по ж\д через Мукден из Бакинского округа ПВО прибыла 216 ИАД (676 ИАП, 518 ИАП и 878 ИАП). Далее 518-й и 878-й полки перебазировались в Мяогоу, а 676-й полк - в Дапу. 216 ИАД включились в боевые действия с</t>
        </r>
        <r>
          <rPr>
            <b/>
            <u/>
            <sz val="9"/>
            <color indexed="60"/>
            <rFont val="Tahoma"/>
            <family val="2"/>
          </rPr>
          <t xml:space="preserve"> 1 августа</t>
        </r>
        <r>
          <rPr>
            <b/>
            <sz val="9"/>
            <color indexed="60"/>
            <rFont val="Tahoma"/>
            <family val="2"/>
          </rPr>
          <t xml:space="preserve"> 1952 года. 
&gt;&gt;Vitali Acote, 25/1-12 : 97-я и 190-я дивизии вели боевые действия до 10 августа, после чего убыли в Союз. Их на второй линии сменила 32 ИАД, прибывшая из Приморья в середине июЛя. 224 ИАП и 535 ИАП разместились в Мукдене, 913 ИАП в Аньшане. Боевая работа дивизии заключалась в прикрытии аэродромов первой линии. Первые боевые вылеты </t>
        </r>
        <r>
          <rPr>
            <b/>
            <u/>
            <sz val="9"/>
            <color indexed="60"/>
            <rFont val="Tahoma"/>
            <family val="2"/>
          </rPr>
          <t>20 августа</t>
        </r>
        <r>
          <rPr>
            <b/>
            <sz val="9"/>
            <color indexed="60"/>
            <rFont val="Tahoma"/>
            <family val="2"/>
          </rPr>
          <t xml:space="preserve"> совершили летчики 913-го полка, остальные два полка вступили в бой в начале сентября. 
</t>
        </r>
        <r>
          <rPr>
            <b/>
            <sz val="9"/>
            <color indexed="81"/>
            <rFont val="Tahoma"/>
            <family val="2"/>
          </rPr>
          <t xml:space="preserve">
Вот август месяц 1952 г. До 10 авг. ещё вели боевые действия 97-я и 190-я ИАД. Это треть месяца, поэтому берём третью часть состава. 168 пилотов*0,33 = 55. 
Добавляем к ним 90 лётчиков (без ночной АЭ) 133-ей ИАД, воевавшей весь месяц. 
Добавляем к ним 100 лётчиков 216-ой ИАД, которая подключилась как раз в начале августа.
И добавляем к ним 100 лётчиков 32-ой ИАД. Но не все 100, т.к. они начали выполять БВ только 20 августа, а пропорционально, т.е. 100*0,33 месяца = 33 лётчика.
Итого получилось, что в августе 1952-го боевые вылеты должны бы выполнять 278 членов лётного состава.  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Август 1952 
Вот август месяц 1952 г. До 10 августа ещё вели боевые действия 97-я и 190-я ИАД. Это треть месяца, поэтому берём третью часть оставшегося боеспособного состава. 
- Вот что осталось от 97-ой ИАД, ведущей бои уже семь месяцев. Опять, что и в прошлом, июЛе месяце 0,6*68=41 боеспособный. Но они летали только треть месяца. Поэтому они сняли боевую нагрузку с остальных не как 41, а всего лишь, как </t>
        </r>
        <r>
          <rPr>
            <b/>
            <u/>
            <sz val="9"/>
            <color indexed="81"/>
            <rFont val="Tahoma"/>
            <family val="2"/>
          </rPr>
          <t>13.</t>
        </r>
        <r>
          <rPr>
            <b/>
            <sz val="9"/>
            <color indexed="81"/>
            <rFont val="Tahoma"/>
            <family val="2"/>
          </rPr>
          <t xml:space="preserve">
- Вот что осталось от 190-ой ИАД, ведущей бои уже шесть месяцев – 0,6*100=60 боеспособных. Они тоже вышли на нижний предел боеспособности. Но и они летали только треть месяца. Поэтому они сняли боевую нагрузку с остальных не как 60, а всего лишь, как </t>
        </r>
        <r>
          <rPr>
            <b/>
            <u/>
            <sz val="9"/>
            <color indexed="81"/>
            <rFont val="Tahoma"/>
            <family val="2"/>
          </rPr>
          <t>20.</t>
        </r>
        <r>
          <rPr>
            <b/>
            <sz val="9"/>
            <color indexed="81"/>
            <rFont val="Tahoma"/>
            <family val="2"/>
          </rPr>
          <t xml:space="preserve">
- Это ещё не всё. К ним нужно добавить боеспособную часть от 90 лётчиков (без ночной АЭ) 133-ей ИАД, воюющей уже третий месяц, хоть и не всё время полным составом, но по графику по t уже вышедшей за это время на «дроп» 0,79. Т.е. в 133-ей ИАД оставалось – 0,79*90=</t>
        </r>
        <r>
          <rPr>
            <b/>
            <u/>
            <sz val="9"/>
            <color indexed="81"/>
            <rFont val="Tahoma"/>
            <family val="2"/>
          </rPr>
          <t xml:space="preserve">71 </t>
        </r>
        <r>
          <rPr>
            <b/>
            <sz val="9"/>
            <color indexed="81"/>
            <rFont val="Tahoma"/>
            <family val="2"/>
          </rPr>
          <t xml:space="preserve">боеспособный пилот.
- Добавляем к ним 100 лётчиков 216-ой ИАД, которая подключилась как раз в начале августа. И в его середине имевшая боеготовность около 0,98. То есть </t>
        </r>
        <r>
          <rPr>
            <b/>
            <u/>
            <sz val="9"/>
            <color indexed="81"/>
            <rFont val="Tahoma"/>
            <family val="2"/>
          </rPr>
          <t>98</t>
        </r>
        <r>
          <rPr>
            <b/>
            <sz val="9"/>
            <color indexed="81"/>
            <rFont val="Tahoma"/>
            <family val="2"/>
          </rPr>
          <t xml:space="preserve"> лётчиков.
- И добавляем к ним 100 только что вступивших в бои лётчиков 32-ой ИАД и имеющей 100% боеготовность. Но не все 100, потому что они начали выполнять БВ только 20 августа, а пропорционально, т.е. 100*0,33 месяца = </t>
        </r>
        <r>
          <rPr>
            <b/>
            <u/>
            <sz val="9"/>
            <color indexed="81"/>
            <rFont val="Tahoma"/>
            <family val="2"/>
          </rPr>
          <t xml:space="preserve">33 </t>
        </r>
        <r>
          <rPr>
            <b/>
            <sz val="9"/>
            <color indexed="81"/>
            <rFont val="Tahoma"/>
            <family val="2"/>
          </rPr>
          <t xml:space="preserve">лётчика.
Итого получилось, что в августе 1952-го к полётам были допущены 235 лётчиков в среднем в месяц. 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"Дислокация", рис.18 и до конца.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Сентябрь 1952 
Дальше всё по расходованию боеготовности с её определёнными коэффициентами с минимумом 0,6 – то есть, считаем, как и раньше. 
- 90 «дневных» лётчиков 133-ей ИАД сохраняют только 0,7 боеспособных от штата = 63 человека.
- 216-я ИАД  - 0,92*100= 92 человека
- 32-я ИАД – 0,98*100= 98 человека 
- 578 иап ТОФ, вступивший в бои в конце августа (почитай, в начале сентября 1952) = 32 человека.
Итого в сентябре 285 боеспособных пилота в среднем в месяц. 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Октябрь 1952 
- 90 «дневных» лётчиков 133-ей ИАД сохраняют минимальные 0,6 боеспособных от штата = 54 человека.
- 216-я ИАД  - 0,85*100= 85 человека
- 32-я ИАД – 0,92*100= 92 человека 
- 578 иап ТОФ, вступивший в бои в конце августа (почитай, в начале сентября 1952) = 32*0,98=31
Итого в октябре 262 боеспособных пилота в среднем в месяц. 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Ноябрь 1952 
- 90 «дневных» лётчиков 133-ей ИАД сохраняют минимальные 0,6 боеспособных от штата = 54 человека. - 216-я ИАД  - 0,79*100= 79 человека
- 32-я ИАД – 0,85*100= 85 человека 
- 578 иап ТОФ – 0,92*32 = 29 человек
Итого в ноябре 247 боеспособных пилотов в среднем в месяц. 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Декабрь 1952 . В декабре ранее полная 32-я ИАД отдаёт одну эскадрилью. Видимо, для боевых действий ночью. Номер полка не указываю. Тогда баланс становится таким: 
- 90 «дневных» лётчиков 133-ей ИАД сохраняют минимальные 0,6 боеспособных от штата = 54 человека. - 216-я ИАД  - 0,7*100= 70 человек
- 32-я ИАД – 0,79*90= 71 человек 
- 578 иап ТОФ – 0,85*32 = 27 человек
Итого в декабре 222 боеспособных пилотов в среднем в месяц. 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Январь 1953. 
- 90 «дневных» лётчиков 133-ей ИАД сохраняют минимальные 0,6 боеспособных от штата = 54 человека.
- 216-я ИАД  - 0,6*100= 60 человек
- 32-я ИАД – 0,7*90= 63 человек 
- 578 иап ТОФ – 0,79*32 = 25 человек
Итого в декабре 202 боеспособных пилотов в среднем в месяц. 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Февраль 1953. 
Во второй половине января (хотя я здесь пишу «с начала февраля») 578 иап ТОФ выводится с ТВД, а на его место вводится новый Флотский полк – 781 иап. Теперь в баланс (в середине месяца, разумеется, как и для всех описанных периодов) выглядит так :
- 90 «дневных» лётчиков 133-ей ИАД сохраняют минимальные 0,6 боеспособных от штата = 54 человека.
- 216-я ИАД  - 0,6*100= 60 человек
- 32-я ИАД – 0,6*90= 54 человека
- 781 иап ТОФ – 0,98*32= 31 человек 
Итого в декабре 199 боеспособных пилотов в среднем в месяц. 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Март 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0,92*32 = 29 человек
Итого в марте 197 боеспособных пилота в среднем в месяц. 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Апрель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0,85*32 = 27 человек
Итого в апреле 195 боеспособных пилота в среднем в месяц. 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Май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0,79*32 = 25 человек
Итого в мае 193 боеспособных пилота в среднем в месяц. 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Июнь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0,7*32 = 22 человека
Итого в июне 190 боеспособных пилота в среднем в месяц.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ИюЛь 1953. 
- 90 «дневных» лётчиков 133-ей ИАД сохраняют минимальные 0,6 боеспособных от штата = 54 человека.
- 216-я ИАД  - 0,6*100= 60 человек
- 32-я ИАД – 0,6*90= 54 человека 
- 781 иап ТОФ – 0,6*32 = 19 человека
Итого в июЛе 187 боеспособных пилотов в среднем в месяц. 
</t>
        </r>
      </text>
    </comment>
    <comment ref="H38" authorId="0" shapeId="0">
      <text>
        <r>
          <rPr>
            <b/>
            <sz val="9"/>
            <color indexed="60"/>
            <rFont val="Tahoma"/>
            <family val="2"/>
          </rPr>
          <t xml:space="preserve">Игорь Км, 26/2-08 , http://forums.airbase.ru/2007/11/t58366,6--vojna-v-koree-chast-2.html : 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18"/>
            <rFont val="Tahoma"/>
            <family val="2"/>
          </rPr>
          <t xml:space="preserve"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доклада полковника Бережного.
</t>
        </r>
        <r>
          <rPr>
            <b/>
            <i/>
            <sz val="9"/>
            <color indexed="12"/>
            <rFont val="Tahoma"/>
            <family val="2"/>
          </rPr>
          <t>"Первый период — с сентября 1951 г. по январь 1952 г. (5 мес.) В этом периоде боевые действия вели авиадивизии полковника Кожедуба [324 ИАД] и полковника Куманичкина [303 ИАД]."</t>
        </r>
        <r>
          <rPr>
            <b/>
            <sz val="9"/>
            <color indexed="81"/>
            <rFont val="Tahoma"/>
            <charset val="1"/>
          </rPr>
          <t xml:space="preserve">
Тогда получается «включительно»!!</t>
        </r>
      </text>
    </comment>
    <comment ref="H39" authorId="0" shapeId="0">
      <text>
        <r>
          <rPr>
            <b/>
            <sz val="9"/>
            <color indexed="60"/>
            <rFont val="Tahoma"/>
            <family val="2"/>
          </rPr>
          <t xml:space="preserve">Игорь Км, 26/2-08 , http://forums.airbase.ru/2007/11/t58366,6--vojna-v-koree-chast-2.html :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8"/>
            <rFont val="Tahoma"/>
            <family val="2"/>
          </rPr>
          <t xml:space="preserve"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долада полковника Бережного.
</t>
        </r>
        <r>
          <rPr>
            <b/>
            <i/>
            <sz val="9"/>
            <color indexed="12"/>
            <rFont val="Tahoma"/>
            <family val="2"/>
          </rPr>
          <t>"Второй период — с февраля по июль 1952 г. (6 мес.) 
Боевые действия вели дивизии полковника Шевцова [97 ИАД] и полковника Корнилова [190 ИАД]."</t>
        </r>
        <r>
          <rPr>
            <b/>
            <sz val="9"/>
            <color indexed="81"/>
            <rFont val="Tahoma"/>
            <family val="2"/>
          </rPr>
          <t xml:space="preserve">
– вот доказательство, что январь в первом периоде «включительно», начали второй период с февраля.
</t>
        </r>
      </text>
    </comment>
    <comment ref="H40" authorId="0" shapeId="0">
      <text>
        <r>
          <rPr>
            <b/>
            <sz val="9"/>
            <color indexed="60"/>
            <rFont val="Tahoma"/>
            <family val="2"/>
          </rPr>
          <t xml:space="preserve">Игорь Км, 26/2-08 , http://forums.airbase.ru/2007/11/t58366,6--vojna-v-koree-chast-2.html :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8"/>
            <rFont val="Tahoma"/>
            <family val="2"/>
          </rPr>
          <t>«Краткие итоги боевых действий частей корпуса, анализ воздушной обстановки и тактики действий наших истребителей».
Авторы подборки документов:
Семин Юрий Николаевич - начальник Историко-архивного и военно-мемориального центра Генштаба Вооруженных Сил Российской Федерации; 
Рубан Сергей Николаевич - кандидат исторических наук, научный сотрудник того же центра
Из долада полковника Бережного.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2"/>
            <rFont val="Tahoma"/>
            <family val="2"/>
          </rPr>
          <t>"Третий период— с августа по декабрь 1952г. (5 мес.) 
Боевые действия вели соединения и части полковника Комарова [133 ИАД], полковника Еремина [216 ИАД] , полковника Гроховецкого [32 ИАД] и подполковника Доброва [578 иап ТОФ]..."</t>
        </r>
        <r>
          <rPr>
            <b/>
            <sz val="9"/>
            <color indexed="81"/>
            <rFont val="Tahoma"/>
            <family val="2"/>
          </rPr>
          <t xml:space="preserve">
Вот доказательство, что июЛь во втором периоде был «включительно». Ясно, если начали третий период с августа.
</t>
        </r>
      </text>
    </comment>
  </commentList>
</comments>
</file>

<file path=xl/sharedStrings.xml><?xml version="1.0" encoding="utf-8"?>
<sst xmlns="http://schemas.openxmlformats.org/spreadsheetml/2006/main" count="380" uniqueCount="70">
  <si>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</si>
  <si>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</si>
  <si>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</si>
  <si>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</si>
  <si>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</si>
  <si>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</si>
  <si>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</si>
  <si>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</si>
  <si>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</si>
  <si>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</si>
  <si>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</si>
  <si>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конец боевах действий</t>
  </si>
  <si>
    <t>начало нашей 1-ой смены</t>
  </si>
  <si>
    <t>начало нашей 2-ой смены</t>
  </si>
  <si>
    <t>начало нашей 3-ей смены</t>
  </si>
  <si>
    <t>начало нашей 4-ой смены</t>
  </si>
  <si>
    <t>количество пилотов на самолёт по штату</t>
  </si>
  <si>
    <r>
      <t xml:space="preserve">ноябрь </t>
    </r>
    <r>
      <rPr>
        <b/>
        <sz val="11"/>
        <color rgb="FFFF0000"/>
        <rFont val="Calibri"/>
        <family val="2"/>
        <scheme val="minor"/>
      </rPr>
      <t>1950</t>
    </r>
  </si>
  <si>
    <r>
      <t xml:space="preserve">январь </t>
    </r>
    <r>
      <rPr>
        <b/>
        <sz val="11"/>
        <color rgb="FFFF0000"/>
        <rFont val="Calibri"/>
        <family val="2"/>
        <scheme val="minor"/>
      </rPr>
      <t>1951</t>
    </r>
  </si>
  <si>
    <r>
      <t xml:space="preserve">январь </t>
    </r>
    <r>
      <rPr>
        <b/>
        <sz val="11"/>
        <color rgb="FFFF0000"/>
        <rFont val="Calibri"/>
        <family val="2"/>
        <scheme val="minor"/>
      </rPr>
      <t>1952</t>
    </r>
  </si>
  <si>
    <r>
      <t xml:space="preserve">январь </t>
    </r>
    <r>
      <rPr>
        <b/>
        <sz val="11"/>
        <color rgb="FFFF0000"/>
        <rFont val="Calibri"/>
        <family val="2"/>
        <scheme val="minor"/>
      </rPr>
      <t>1953</t>
    </r>
  </si>
  <si>
    <t>ВСЕГО</t>
  </si>
  <si>
    <r>
      <t xml:space="preserve">Количество боевых вылетов </t>
    </r>
    <r>
      <rPr>
        <b/>
        <sz val="11"/>
        <color theme="3" tint="0.39997558519241921"/>
        <rFont val="Calibri"/>
        <family val="2"/>
        <scheme val="minor"/>
      </rPr>
      <t>Сэйбров</t>
    </r>
    <r>
      <rPr>
        <sz val="11"/>
        <color theme="1"/>
        <rFont val="Calibri"/>
        <family val="2"/>
        <scheme val="minor"/>
      </rPr>
      <t>.  FY-1953. PDF-60, стр.36</t>
    </r>
  </si>
  <si>
    <t xml:space="preserve">Cреднее за месяц наличное количество самолётов в действующих частях с 1-го ноября 1950 по 27 июЛя 1953 по типам. </t>
  </si>
  <si>
    <t>Пилотов по штату (см.Дислокацию) и комменты в клетках</t>
  </si>
  <si>
    <t>Расчётное количество боеспособных пилотов</t>
  </si>
  <si>
    <r>
      <t xml:space="preserve">Количество боевых вылетов </t>
    </r>
    <r>
      <rPr>
        <b/>
        <sz val="10.5"/>
        <color rgb="FFFF0000"/>
        <rFont val="Calibri"/>
        <family val="2"/>
        <scheme val="minor"/>
      </rPr>
      <t>МиГов</t>
    </r>
    <r>
      <rPr>
        <sz val="10.5"/>
        <color theme="1"/>
        <rFont val="Calibri"/>
        <family val="2"/>
        <scheme val="minor"/>
      </rPr>
      <t xml:space="preserve"> Корпуса по месяцам. Для 1-ой смены фактическое, для других по миллиметровке.</t>
    </r>
  </si>
  <si>
    <t>среднее</t>
  </si>
  <si>
    <t>Среднее боевое напряжение по сменам</t>
  </si>
  <si>
    <r>
      <t xml:space="preserve">% Боеготовых пилотов (экипажей) </t>
    </r>
    <r>
      <rPr>
        <b/>
        <sz val="10"/>
        <color theme="3"/>
        <rFont val="Calibri"/>
        <family val="2"/>
        <scheme val="minor"/>
      </rPr>
      <t xml:space="preserve">F-86 </t>
    </r>
  </si>
  <si>
    <r>
      <t xml:space="preserve">% Боеготовых пилотов (экипажей) </t>
    </r>
    <r>
      <rPr>
        <b/>
        <sz val="11"/>
        <color rgb="FFFF0000"/>
        <rFont val="Calibri"/>
        <family val="2"/>
        <scheme val="minor"/>
      </rPr>
      <t xml:space="preserve">МиГов </t>
    </r>
  </si>
  <si>
    <t>Число пилотов по штату в этих частях. PDF 57, FY-1953, стр.33</t>
  </si>
  <si>
    <t>510-й, КРОН, 23/6-15</t>
  </si>
  <si>
    <t>Удельное боевое напряжение</t>
  </si>
  <si>
    <t>сравнение с доками</t>
  </si>
  <si>
    <t>конец боевых действий</t>
  </si>
  <si>
    <t>у меня</t>
  </si>
  <si>
    <t>до конца февр.1952</t>
  </si>
  <si>
    <r>
      <t xml:space="preserve">Корпус </t>
    </r>
    <r>
      <rPr>
        <sz val="9"/>
        <rFont val="Arial"/>
        <family val="2"/>
        <charset val="204"/>
      </rPr>
      <t xml:space="preserve">сентябрь 1951 г. - январь 1952 г. (5 мес.) - </t>
    </r>
    <r>
      <rPr>
        <b/>
        <sz val="9"/>
        <rFont val="Arial"/>
        <family val="2"/>
        <charset val="204"/>
      </rPr>
      <t>1-й Период</t>
    </r>
  </si>
  <si>
    <r>
      <t>Корпус</t>
    </r>
    <r>
      <rPr>
        <sz val="10"/>
        <rFont val="Arial"/>
        <family val="2"/>
        <charset val="204"/>
      </rPr>
      <t xml:space="preserve"> с февраля по июль 1952 г. (6 мес.) - </t>
    </r>
    <r>
      <rPr>
        <b/>
        <sz val="10"/>
        <rFont val="Arial"/>
        <family val="2"/>
        <charset val="204"/>
      </rPr>
      <t>2-й Период</t>
    </r>
  </si>
  <si>
    <r>
      <t xml:space="preserve">Корпус </t>
    </r>
    <r>
      <rPr>
        <sz val="10"/>
        <rFont val="Arial"/>
        <family val="2"/>
        <charset val="204"/>
      </rPr>
      <t>с августа по декабрь 1952г. (5 мес.)</t>
    </r>
    <r>
      <rPr>
        <b/>
        <sz val="10"/>
        <rFont val="Arial"/>
        <family val="2"/>
        <charset val="204"/>
      </rPr>
      <t xml:space="preserve"> - 3-й Период</t>
    </r>
  </si>
  <si>
    <r>
      <t xml:space="preserve">Расчётный % боеготовых пилотов (экипажей) </t>
    </r>
    <r>
      <rPr>
        <b/>
        <sz val="11"/>
        <color rgb="FFFF0000"/>
        <rFont val="Calibri"/>
        <family val="2"/>
        <scheme val="minor"/>
      </rPr>
      <t xml:space="preserve">МиГов </t>
    </r>
  </si>
  <si>
    <t>годы</t>
  </si>
  <si>
    <t>сумма</t>
  </si>
  <si>
    <t>до 1 августа 1951</t>
  </si>
  <si>
    <r>
      <t>Нарастающее кол-во БВ</t>
    </r>
    <r>
      <rPr>
        <b/>
        <sz val="11"/>
        <color rgb="FFFF0000"/>
        <rFont val="Calibri"/>
        <family val="2"/>
        <scheme val="minor"/>
      </rPr>
      <t xml:space="preserve"> МиГов</t>
    </r>
    <r>
      <rPr>
        <sz val="11"/>
        <color theme="1"/>
        <rFont val="Calibri"/>
        <family val="2"/>
        <scheme val="minor"/>
      </rPr>
      <t xml:space="preserve"> Корпуса</t>
    </r>
  </si>
  <si>
    <r>
      <t>Нарастающее кол-во БВ</t>
    </r>
    <r>
      <rPr>
        <b/>
        <sz val="11"/>
        <color rgb="FF0070C0"/>
        <rFont val="Calibri"/>
        <family val="2"/>
        <scheme val="minor"/>
      </rPr>
      <t xml:space="preserve"> F-86</t>
    </r>
  </si>
  <si>
    <t>Расчётное удельное боевое напряжение</t>
  </si>
  <si>
    <r>
      <t xml:space="preserve">% Боеготовых пилотов (экипажей) </t>
    </r>
    <r>
      <rPr>
        <b/>
        <sz val="11"/>
        <color theme="3" tint="0.39997558519241921"/>
        <rFont val="Calibri"/>
        <family val="2"/>
        <scheme val="minor"/>
      </rPr>
      <t>F-86</t>
    </r>
    <r>
      <rPr>
        <b/>
        <sz val="11"/>
        <color theme="3"/>
        <rFont val="Calibri"/>
        <family val="2"/>
        <scheme val="minor"/>
      </rPr>
      <t xml:space="preserve"> </t>
    </r>
  </si>
  <si>
    <r>
      <t xml:space="preserve">Фактическое среднее боевое напряжение пилотов </t>
    </r>
    <r>
      <rPr>
        <b/>
        <sz val="10"/>
        <color rgb="FFFF0000"/>
        <rFont val="Calibri"/>
        <family val="2"/>
        <scheme val="minor"/>
      </rPr>
      <t>МиГов</t>
    </r>
    <r>
      <rPr>
        <sz val="10"/>
        <color theme="1"/>
        <rFont val="Calibri"/>
        <family val="2"/>
        <scheme val="minor"/>
      </rPr>
      <t xml:space="preserve"> в официально заявленные Конференцией периоды</t>
    </r>
  </si>
  <si>
    <r>
      <t xml:space="preserve">Расчётное среднее боевое напряжение пилотов </t>
    </r>
    <r>
      <rPr>
        <b/>
        <sz val="10"/>
        <color rgb="FFFF0000"/>
        <rFont val="Calibri"/>
        <family val="2"/>
        <scheme val="minor"/>
      </rPr>
      <t>МиГов</t>
    </r>
    <r>
      <rPr>
        <sz val="10"/>
        <color theme="1"/>
        <rFont val="Calibri"/>
        <family val="2"/>
        <scheme val="minor"/>
      </rPr>
      <t xml:space="preserve"> в официально заявленные Конференцией периоды</t>
    </r>
  </si>
  <si>
    <r>
      <t xml:space="preserve">Фактическое среднее боевое напряжение пилотов </t>
    </r>
    <r>
      <rPr>
        <b/>
        <sz val="11"/>
        <color rgb="FF0070C0"/>
        <rFont val="Calibri"/>
        <family val="2"/>
        <scheme val="minor"/>
      </rPr>
      <t>F-86</t>
    </r>
    <r>
      <rPr>
        <sz val="11"/>
        <color theme="1"/>
        <rFont val="Calibri"/>
        <family val="2"/>
        <scheme val="minor"/>
      </rPr>
      <t xml:space="preserve"> в те же периоды</t>
    </r>
  </si>
  <si>
    <t>Фактическое удельное боевое напряжение</t>
  </si>
  <si>
    <r>
      <t xml:space="preserve">Фактическое среднее боевое напряжение пилотов </t>
    </r>
    <r>
      <rPr>
        <b/>
        <sz val="12"/>
        <color theme="3" tint="0.39997558519241921"/>
        <rFont val="Calibri"/>
        <family val="2"/>
        <scheme val="minor"/>
      </rPr>
      <t>F-86</t>
    </r>
    <r>
      <rPr>
        <sz val="10"/>
        <color theme="1"/>
        <rFont val="Calibri"/>
        <family val="2"/>
        <scheme val="minor"/>
      </rPr>
      <t>, противостящих нашим "официальным" сменам</t>
    </r>
  </si>
  <si>
    <t>БВ по документам</t>
  </si>
  <si>
    <r>
      <t xml:space="preserve">Расчётное среднее боевое напряжение по сменам пилотов </t>
    </r>
    <r>
      <rPr>
        <b/>
        <sz val="11"/>
        <color rgb="FFFF0000"/>
        <rFont val="Calibri"/>
        <family val="2"/>
        <scheme val="minor"/>
      </rPr>
      <t>МиГов</t>
    </r>
    <r>
      <rPr>
        <sz val="11"/>
        <color theme="1"/>
        <rFont val="Calibri"/>
        <family val="2"/>
        <scheme val="minor"/>
      </rPr>
      <t xml:space="preserve"> Корпуса</t>
    </r>
  </si>
  <si>
    <t>Проверка</t>
  </si>
  <si>
    <t>Сравнение</t>
  </si>
  <si>
    <t>Таблица "Проверка и сравнение"</t>
  </si>
  <si>
    <t>510-й, КРОН, 24/10-15</t>
  </si>
  <si>
    <t>510-й, КРОН, 31/10-15</t>
  </si>
  <si>
    <r>
      <t xml:space="preserve">ноябрь </t>
    </r>
    <r>
      <rPr>
        <b/>
        <sz val="11"/>
        <color rgb="FFFF0000"/>
        <rFont val="Calibri"/>
        <family val="2"/>
        <scheme val="minor"/>
      </rPr>
      <t>1950</t>
    </r>
    <r>
      <rPr>
        <sz val="11"/>
        <rFont val="Calibri"/>
        <family val="2"/>
        <scheme val="minor"/>
      </rPr>
      <t xml:space="preserve"> (28-я и 151-я)</t>
    </r>
  </si>
  <si>
    <t>декабрь (50-я)</t>
  </si>
  <si>
    <r>
      <t xml:space="preserve">январь </t>
    </r>
    <r>
      <rPr>
        <b/>
        <sz val="11"/>
        <color rgb="FFFF0000"/>
        <rFont val="Calibri"/>
        <family val="2"/>
        <scheme val="minor"/>
      </rPr>
      <t xml:space="preserve">1951 </t>
    </r>
    <r>
      <rPr>
        <sz val="11"/>
        <rFont val="Calibri"/>
        <family val="2"/>
        <scheme val="minor"/>
      </rPr>
      <t>(50-я)</t>
    </r>
    <r>
      <rPr>
        <b/>
        <sz val="11"/>
        <color rgb="FFFF0000"/>
        <rFont val="Calibri"/>
        <family val="2"/>
        <scheme val="minor"/>
      </rPr>
      <t xml:space="preserve"> </t>
    </r>
  </si>
  <si>
    <t>февраль (151-я)</t>
  </si>
  <si>
    <t xml:space="preserve">март (151-я) </t>
  </si>
  <si>
    <t>Расчётное количество боеспособных пилотов (см.комменты)</t>
  </si>
  <si>
    <t>Количество боеспособных пилотов.  FY-1953, PDF-59, стр.35</t>
  </si>
  <si>
    <t>Пилотов по штату (см. "Дислокацию" и комменты в клетках).</t>
  </si>
  <si>
    <t>510-й, КРОН, 11/4-16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</si>
</sst>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indexed="12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indexed="10"/>
      <name val="Tahoma"/>
      <family val="2"/>
    </font>
    <font>
      <b/>
      <sz val="10.5"/>
      <color rgb="FFFF0000"/>
      <name val="Calibri"/>
      <family val="2"/>
      <scheme val="minor"/>
    </font>
    <font>
      <b/>
      <sz val="9"/>
      <color indexed="60"/>
      <name val="Tahoma"/>
      <family val="2"/>
    </font>
    <font>
      <b/>
      <u/>
      <sz val="9"/>
      <color indexed="60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3"/>
      <name val="Calibri"/>
      <family val="2"/>
      <scheme val="minor"/>
    </font>
    <font>
      <b/>
      <i/>
      <sz val="9"/>
      <color indexed="60"/>
      <name val="Tahoma"/>
      <family val="2"/>
    </font>
    <font>
      <b/>
      <i/>
      <sz val="11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18"/>
      <name val="Tahoma"/>
      <family val="2"/>
    </font>
    <font>
      <b/>
      <i/>
      <sz val="9"/>
      <color indexed="12"/>
      <name val="Tahom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60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18"/>
      <name val="Tahoma"/>
      <family val="2"/>
      <charset val="204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i/>
      <sz val="10"/>
      <color indexed="39"/>
      <name val="Tahoma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indexed="81"/>
      <name val="Tahoma"/>
      <family val="2"/>
    </font>
    <font>
      <b/>
      <sz val="10.5"/>
      <color indexed="81"/>
      <name val="Tahoma"/>
      <family val="2"/>
    </font>
    <font>
      <b/>
      <i/>
      <sz val="10.5"/>
      <color indexed="39"/>
      <name val="Tahoma"/>
      <family val="2"/>
    </font>
    <font>
      <b/>
      <sz val="11"/>
      <color rgb="FF0070C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60"/>
      <name val="Tahoma"/>
      <family val="2"/>
    </font>
    <font>
      <b/>
      <sz val="10"/>
      <color indexed="18"/>
      <name val="Tahoma"/>
      <family val="2"/>
    </font>
    <font>
      <sz val="10"/>
      <color indexed="81"/>
      <name val="Tahoma"/>
      <family val="2"/>
    </font>
    <font>
      <b/>
      <i/>
      <sz val="10"/>
      <color indexed="12"/>
      <name val="Tahoma"/>
      <family val="2"/>
    </font>
    <font>
      <b/>
      <i/>
      <sz val="11"/>
      <color rgb="FF1B35B7"/>
      <name val="Calibri"/>
      <family val="2"/>
      <scheme val="minor"/>
    </font>
    <font>
      <b/>
      <sz val="11"/>
      <color indexed="10"/>
      <name val="Tahoma"/>
      <family val="2"/>
    </font>
    <font>
      <b/>
      <u/>
      <sz val="10"/>
      <color indexed="10"/>
      <name val="Tahoma"/>
      <family val="2"/>
    </font>
    <font>
      <sz val="11"/>
      <name val="Calibri"/>
      <family val="2"/>
      <scheme val="minor"/>
    </font>
    <font>
      <b/>
      <sz val="11"/>
      <color indexed="81"/>
      <name val="Tahoma"/>
      <family val="2"/>
    </font>
    <font>
      <b/>
      <u/>
      <sz val="10"/>
      <color indexed="81"/>
      <name val="Tahoma"/>
      <family val="2"/>
    </font>
    <font>
      <b/>
      <u/>
      <sz val="9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color indexed="60"/>
      <name val="Tahoma"/>
      <family val="2"/>
    </font>
    <font>
      <b/>
      <i/>
      <u/>
      <sz val="10"/>
      <color indexed="60"/>
      <name val="Tahoma"/>
      <family val="2"/>
    </font>
    <font>
      <b/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Dashed">
        <color theme="3" tint="0.3999450666829432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mediumDashed">
        <color theme="4" tint="0.39994506668294322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 style="mediumDashed">
        <color theme="3" tint="0.39994506668294322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Dashed">
        <color theme="3" tint="0.399945066682943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center"/>
    </xf>
    <xf numFmtId="2" fontId="0" fillId="0" borderId="2" xfId="0" applyNumberForma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9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2" fontId="0" fillId="0" borderId="5" xfId="0" applyNumberFormat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3" fontId="32" fillId="3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3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1" fontId="9" fillId="5" borderId="0" xfId="0" applyNumberFormat="1" applyFont="1" applyFill="1" applyAlignment="1">
      <alignment horizontal="center"/>
    </xf>
    <xf numFmtId="0" fontId="0" fillId="5" borderId="0" xfId="0" applyFill="1"/>
    <xf numFmtId="1" fontId="0" fillId="5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/>
    <xf numFmtId="2" fontId="0" fillId="0" borderId="13" xfId="0" applyNumberFormat="1" applyFill="1" applyBorder="1" applyAlignment="1">
      <alignment horizontal="center"/>
    </xf>
    <xf numFmtId="0" fontId="0" fillId="0" borderId="14" xfId="0" applyBorder="1"/>
    <xf numFmtId="0" fontId="0" fillId="0" borderId="2" xfId="0" applyBorder="1"/>
    <xf numFmtId="0" fontId="35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3" fontId="32" fillId="3" borderId="16" xfId="0" applyNumberFormat="1" applyFont="1" applyFill="1" applyBorder="1" applyAlignment="1">
      <alignment horizontal="center" vertical="center" wrapText="1"/>
    </xf>
    <xf numFmtId="1" fontId="0" fillId="5" borderId="16" xfId="0" applyNumberFormat="1" applyFill="1" applyBorder="1" applyAlignment="1">
      <alignment horizontal="center" vertical="center"/>
    </xf>
    <xf numFmtId="0" fontId="0" fillId="0" borderId="17" xfId="0" applyBorder="1"/>
    <xf numFmtId="0" fontId="1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B35B7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7.140625" customWidth="1"/>
    <col min="2" max="2" width="23.42578125" customWidth="1"/>
    <col min="3" max="3" width="22.42578125" customWidth="1"/>
    <col min="4" max="4" width="21.140625" style="5" customWidth="1"/>
    <col min="5" max="5" width="19.28515625" customWidth="1"/>
    <col min="6" max="6" width="22.5703125" customWidth="1"/>
    <col min="7" max="7" width="13.28515625" customWidth="1"/>
    <col min="8" max="8" width="17.5703125" style="1" customWidth="1"/>
    <col min="9" max="9" width="19.85546875" style="1" customWidth="1"/>
    <col min="10" max="10" width="14.140625" customWidth="1"/>
    <col min="11" max="11" width="16.7109375" style="1" customWidth="1"/>
    <col min="12" max="12" width="16.7109375" style="5" customWidth="1"/>
    <col min="13" max="13" width="23.140625" style="1" customWidth="1"/>
    <col min="14" max="14" width="16.42578125" style="5" customWidth="1"/>
    <col min="15" max="15" width="23.140625" style="52" customWidth="1"/>
    <col min="16" max="16" width="11.140625" style="1" customWidth="1"/>
    <col min="17" max="17" width="12" style="1" customWidth="1"/>
  </cols>
  <sheetData>
    <row r="1" spans="1:18" ht="69.75" customHeight="1" x14ac:dyDescent="0.25">
      <c r="A1" s="126" t="s">
        <v>69</v>
      </c>
      <c r="B1" s="43" t="s">
        <v>26</v>
      </c>
      <c r="C1" s="44" t="s">
        <v>68</v>
      </c>
      <c r="D1" s="44" t="s">
        <v>66</v>
      </c>
      <c r="E1" s="41" t="s">
        <v>47</v>
      </c>
      <c r="F1" s="85" t="s">
        <v>55</v>
      </c>
      <c r="G1" s="46" t="s">
        <v>41</v>
      </c>
      <c r="H1" s="44" t="s">
        <v>22</v>
      </c>
      <c r="I1" s="44" t="s">
        <v>31</v>
      </c>
      <c r="J1" s="48" t="s">
        <v>67</v>
      </c>
      <c r="K1" s="47" t="s">
        <v>48</v>
      </c>
      <c r="L1" s="41" t="s">
        <v>52</v>
      </c>
      <c r="M1" s="80" t="s">
        <v>53</v>
      </c>
      <c r="N1" s="44" t="s">
        <v>16</v>
      </c>
      <c r="O1" s="49" t="s">
        <v>23</v>
      </c>
      <c r="P1" s="92" t="s">
        <v>45</v>
      </c>
      <c r="Q1" s="44" t="s">
        <v>46</v>
      </c>
      <c r="R1" s="3"/>
    </row>
    <row r="2" spans="1:18" x14ac:dyDescent="0.25">
      <c r="A2" s="2" t="s">
        <v>61</v>
      </c>
      <c r="B2" s="119">
        <v>402</v>
      </c>
      <c r="C2" s="122">
        <v>136</v>
      </c>
      <c r="D2" s="120">
        <v>100</v>
      </c>
      <c r="E2" s="62">
        <f t="shared" ref="E2:E34" si="0">B2/D2</f>
        <v>4.0199999999999996</v>
      </c>
      <c r="F2" s="86" t="s">
        <v>12</v>
      </c>
      <c r="G2" s="37">
        <f>D2/C2</f>
        <v>0.73529411764705888</v>
      </c>
      <c r="I2" s="2"/>
      <c r="J2" s="5"/>
      <c r="M2" s="77"/>
      <c r="N2" s="7"/>
      <c r="O2" s="94"/>
      <c r="P2" s="93">
        <f>B2</f>
        <v>402</v>
      </c>
      <c r="Q2" s="1">
        <v>0</v>
      </c>
    </row>
    <row r="3" spans="1:18" x14ac:dyDescent="0.25">
      <c r="A3" s="2" t="s">
        <v>62</v>
      </c>
      <c r="B3" s="119">
        <v>677</v>
      </c>
      <c r="C3" s="121">
        <v>50</v>
      </c>
      <c r="D3" s="123">
        <v>40</v>
      </c>
      <c r="E3" s="62">
        <f t="shared" si="0"/>
        <v>16.925000000000001</v>
      </c>
      <c r="F3" s="86"/>
      <c r="G3" s="37">
        <f t="shared" ref="G3:G34" si="1">D3/C3</f>
        <v>0.8</v>
      </c>
      <c r="H3" s="1">
        <v>236</v>
      </c>
      <c r="I3" s="2">
        <v>26</v>
      </c>
      <c r="J3" s="5">
        <v>26</v>
      </c>
      <c r="K3" s="22">
        <f>J3/I3</f>
        <v>1</v>
      </c>
      <c r="L3" s="26">
        <f t="shared" ref="L3:L34" si="2">H3/J3</f>
        <v>9.0769230769230766</v>
      </c>
      <c r="M3" s="81"/>
      <c r="N3" s="7">
        <f>I3/O3</f>
        <v>1.368421052631579</v>
      </c>
      <c r="O3" s="95">
        <v>19</v>
      </c>
      <c r="P3" s="93">
        <f>P2+B3</f>
        <v>1079</v>
      </c>
      <c r="Q3" s="1">
        <f>Q2+H3</f>
        <v>236</v>
      </c>
    </row>
    <row r="4" spans="1:18" x14ac:dyDescent="0.25">
      <c r="A4" s="2" t="s">
        <v>63</v>
      </c>
      <c r="B4" s="121">
        <v>455</v>
      </c>
      <c r="C4" s="121">
        <v>68</v>
      </c>
      <c r="D4" s="123">
        <v>51</v>
      </c>
      <c r="E4" s="62">
        <f t="shared" si="0"/>
        <v>8.9215686274509807</v>
      </c>
      <c r="F4" s="87">
        <f>AVERAGE(E2:E6)</f>
        <v>10.52232141967681</v>
      </c>
      <c r="G4" s="37">
        <f t="shared" si="1"/>
        <v>0.75</v>
      </c>
      <c r="H4" s="5">
        <v>212</v>
      </c>
      <c r="I4" s="4">
        <v>6</v>
      </c>
      <c r="J4" s="5">
        <v>6</v>
      </c>
      <c r="K4" s="22">
        <f>J4/I4</f>
        <v>1</v>
      </c>
      <c r="L4" s="26">
        <f t="shared" si="2"/>
        <v>35.333333333333336</v>
      </c>
      <c r="M4" s="82">
        <f>AVERAGE(L3:L6)</f>
        <v>16.864759224515321</v>
      </c>
      <c r="N4" s="7">
        <f>I4/O4</f>
        <v>1.5</v>
      </c>
      <c r="O4" s="95">
        <v>4</v>
      </c>
      <c r="P4" s="93">
        <f>P3+B4</f>
        <v>1534</v>
      </c>
      <c r="Q4" s="1">
        <f t="shared" ref="Q4:Q34" si="3">Q3+H4</f>
        <v>448</v>
      </c>
    </row>
    <row r="5" spans="1:18" x14ac:dyDescent="0.25">
      <c r="A5" s="2" t="s">
        <v>64</v>
      </c>
      <c r="B5" s="121">
        <v>403</v>
      </c>
      <c r="C5" s="119">
        <v>32</v>
      </c>
      <c r="D5" s="123">
        <f>C5*0.92</f>
        <v>29.44</v>
      </c>
      <c r="E5" s="62">
        <f t="shared" si="0"/>
        <v>13.688858695652174</v>
      </c>
      <c r="F5" s="86"/>
      <c r="G5" s="37">
        <f t="shared" si="1"/>
        <v>0.92</v>
      </c>
      <c r="H5" s="1">
        <v>1</v>
      </c>
      <c r="I5" s="2">
        <v>0</v>
      </c>
      <c r="J5" s="5">
        <v>1</v>
      </c>
      <c r="K5" s="22">
        <v>1</v>
      </c>
      <c r="L5" s="26">
        <f t="shared" si="2"/>
        <v>1</v>
      </c>
      <c r="M5" s="81"/>
      <c r="N5" s="7">
        <v>0</v>
      </c>
      <c r="O5" s="95">
        <v>0</v>
      </c>
      <c r="P5" s="93">
        <f>P4+B5</f>
        <v>1937</v>
      </c>
      <c r="Q5" s="1">
        <f t="shared" si="3"/>
        <v>449</v>
      </c>
    </row>
    <row r="6" spans="1:18" ht="15.75" thickBot="1" x14ac:dyDescent="0.3">
      <c r="A6" s="8" t="s">
        <v>65</v>
      </c>
      <c r="B6" s="124">
        <v>403</v>
      </c>
      <c r="C6" s="125">
        <v>50</v>
      </c>
      <c r="D6" s="125">
        <f>C6*0.89</f>
        <v>44.5</v>
      </c>
      <c r="E6" s="27">
        <f t="shared" si="0"/>
        <v>9.0561797752808992</v>
      </c>
      <c r="F6" s="88"/>
      <c r="G6" s="61">
        <f t="shared" si="1"/>
        <v>0.89</v>
      </c>
      <c r="H6" s="9">
        <v>904</v>
      </c>
      <c r="I6" s="8">
        <v>41</v>
      </c>
      <c r="J6" s="28">
        <v>41</v>
      </c>
      <c r="K6" s="29">
        <f t="shared" ref="K6:K34" si="4">J6/I6</f>
        <v>1</v>
      </c>
      <c r="L6" s="84">
        <f t="shared" si="2"/>
        <v>22.048780487804876</v>
      </c>
      <c r="M6" s="83"/>
      <c r="N6" s="10">
        <f t="shared" ref="N6:N34" si="5">I6/O6</f>
        <v>1.1081081081081081</v>
      </c>
      <c r="O6" s="96">
        <v>37</v>
      </c>
      <c r="P6" s="93">
        <f>P5+B6</f>
        <v>2340</v>
      </c>
      <c r="Q6" s="1">
        <f t="shared" si="3"/>
        <v>1353</v>
      </c>
    </row>
    <row r="7" spans="1:18" x14ac:dyDescent="0.25">
      <c r="A7" s="2" t="s">
        <v>4</v>
      </c>
      <c r="B7" s="68">
        <v>1088</v>
      </c>
      <c r="C7" s="111">
        <v>68</v>
      </c>
      <c r="D7" s="24">
        <f>C7*0.98</f>
        <v>66.64</v>
      </c>
      <c r="E7" s="62">
        <f t="shared" si="0"/>
        <v>16.326530612244898</v>
      </c>
      <c r="F7" s="86" t="s">
        <v>13</v>
      </c>
      <c r="G7" s="37">
        <f t="shared" si="1"/>
        <v>0.98</v>
      </c>
      <c r="H7" s="1">
        <v>1073</v>
      </c>
      <c r="I7" s="2">
        <v>58</v>
      </c>
      <c r="J7" s="5">
        <v>58</v>
      </c>
      <c r="K7" s="22">
        <f t="shared" si="4"/>
        <v>1</v>
      </c>
      <c r="L7" s="26">
        <f t="shared" si="2"/>
        <v>18.5</v>
      </c>
      <c r="M7" s="81"/>
      <c r="N7" s="7">
        <f t="shared" si="5"/>
        <v>1.2608695652173914</v>
      </c>
      <c r="O7" s="95">
        <v>46</v>
      </c>
      <c r="P7" s="93">
        <f t="shared" ref="P7:P34" si="6">P6+B7</f>
        <v>3428</v>
      </c>
      <c r="Q7" s="1">
        <f t="shared" si="3"/>
        <v>2426</v>
      </c>
    </row>
    <row r="8" spans="1:18" x14ac:dyDescent="0.25">
      <c r="A8" s="2" t="s">
        <v>5</v>
      </c>
      <c r="B8" s="68">
        <v>1087</v>
      </c>
      <c r="C8" s="111">
        <v>100</v>
      </c>
      <c r="D8" s="24">
        <f>(68*0.92)+(32*0.98)</f>
        <v>93.92</v>
      </c>
      <c r="E8" s="62">
        <f t="shared" si="0"/>
        <v>11.573679727427598</v>
      </c>
      <c r="F8" s="86"/>
      <c r="G8" s="37">
        <f t="shared" si="1"/>
        <v>0.93920000000000003</v>
      </c>
      <c r="H8" s="11">
        <v>1360</v>
      </c>
      <c r="I8" s="2">
        <v>57</v>
      </c>
      <c r="J8" s="5">
        <v>57</v>
      </c>
      <c r="K8" s="22">
        <f t="shared" si="4"/>
        <v>1</v>
      </c>
      <c r="L8" s="26">
        <f t="shared" si="2"/>
        <v>23.859649122807017</v>
      </c>
      <c r="M8" s="81"/>
      <c r="N8" s="7">
        <f t="shared" si="5"/>
        <v>1.2127659574468086</v>
      </c>
      <c r="O8" s="95">
        <v>47</v>
      </c>
      <c r="P8" s="93">
        <f t="shared" si="6"/>
        <v>4515</v>
      </c>
      <c r="Q8" s="1">
        <f t="shared" si="3"/>
        <v>3786</v>
      </c>
    </row>
    <row r="9" spans="1:18" x14ac:dyDescent="0.25">
      <c r="A9" s="2" t="s">
        <v>6</v>
      </c>
      <c r="B9" s="68">
        <v>1088</v>
      </c>
      <c r="C9" s="111">
        <v>168</v>
      </c>
      <c r="D9" s="24">
        <f>(68*0.85)+(100*0.92)</f>
        <v>149.80000000000001</v>
      </c>
      <c r="E9" s="62">
        <f t="shared" si="0"/>
        <v>7.2630173564752996</v>
      </c>
      <c r="F9" s="86"/>
      <c r="G9" s="37">
        <f t="shared" si="1"/>
        <v>0.89166666666666672</v>
      </c>
      <c r="H9" s="11">
        <v>1250</v>
      </c>
      <c r="I9" s="2">
        <v>59</v>
      </c>
      <c r="J9" s="5">
        <v>52</v>
      </c>
      <c r="K9" s="22">
        <f t="shared" si="4"/>
        <v>0.88135593220338981</v>
      </c>
      <c r="L9" s="26">
        <f t="shared" si="2"/>
        <v>24.03846153846154</v>
      </c>
      <c r="M9" s="81"/>
      <c r="N9" s="7">
        <f t="shared" si="5"/>
        <v>1.3409090909090908</v>
      </c>
      <c r="O9" s="95">
        <v>44</v>
      </c>
      <c r="P9" s="93">
        <f t="shared" si="6"/>
        <v>5603</v>
      </c>
      <c r="Q9" s="1">
        <f t="shared" si="3"/>
        <v>5036</v>
      </c>
    </row>
    <row r="10" spans="1:18" x14ac:dyDescent="0.25">
      <c r="A10" s="4" t="s">
        <v>7</v>
      </c>
      <c r="B10" s="68">
        <v>1087</v>
      </c>
      <c r="C10" s="111">
        <v>168</v>
      </c>
      <c r="D10" s="24">
        <f>(68*0.79)+(100*0.85)</f>
        <v>138.72</v>
      </c>
      <c r="E10" s="62">
        <f t="shared" si="0"/>
        <v>7.8359284890426757</v>
      </c>
      <c r="F10" s="86"/>
      <c r="G10" s="37">
        <f t="shared" si="1"/>
        <v>0.82571428571428573</v>
      </c>
      <c r="H10" s="11">
        <v>734</v>
      </c>
      <c r="I10" s="2">
        <v>88</v>
      </c>
      <c r="J10" s="5">
        <v>82</v>
      </c>
      <c r="K10" s="22">
        <f t="shared" si="4"/>
        <v>0.93181818181818177</v>
      </c>
      <c r="L10" s="26">
        <f t="shared" si="2"/>
        <v>8.9512195121951219</v>
      </c>
      <c r="M10" s="81"/>
      <c r="N10" s="7">
        <f t="shared" si="5"/>
        <v>2.1463414634146343</v>
      </c>
      <c r="O10" s="97">
        <v>41</v>
      </c>
      <c r="P10" s="93">
        <f t="shared" si="6"/>
        <v>6690</v>
      </c>
      <c r="Q10" s="1">
        <f t="shared" si="3"/>
        <v>5770</v>
      </c>
    </row>
    <row r="11" spans="1:18" ht="15.75" customHeight="1" x14ac:dyDescent="0.25">
      <c r="A11" s="4" t="s">
        <v>8</v>
      </c>
      <c r="B11" s="68">
        <v>1410</v>
      </c>
      <c r="C11" s="111">
        <v>168</v>
      </c>
      <c r="D11" s="24">
        <f>(68*0.7)+(100*0.79)</f>
        <v>126.6</v>
      </c>
      <c r="E11" s="62">
        <f t="shared" si="0"/>
        <v>11.13744075829384</v>
      </c>
      <c r="F11" s="87">
        <f>AVERAGE(E7:E16)</f>
        <v>18.270147672717943</v>
      </c>
      <c r="G11" s="37">
        <f t="shared" si="1"/>
        <v>0.75357142857142856</v>
      </c>
      <c r="H11" s="11">
        <v>940</v>
      </c>
      <c r="I11" s="2">
        <v>82</v>
      </c>
      <c r="J11" s="5">
        <v>69</v>
      </c>
      <c r="K11" s="22">
        <f t="shared" si="4"/>
        <v>0.84146341463414631</v>
      </c>
      <c r="L11" s="26">
        <f t="shared" si="2"/>
        <v>13.623188405797102</v>
      </c>
      <c r="M11" s="81"/>
      <c r="N11" s="7">
        <f t="shared" si="5"/>
        <v>2.1025641025641026</v>
      </c>
      <c r="O11" s="97">
        <v>39</v>
      </c>
      <c r="P11" s="93">
        <f t="shared" si="6"/>
        <v>8100</v>
      </c>
      <c r="Q11" s="1">
        <f t="shared" si="3"/>
        <v>6710</v>
      </c>
    </row>
    <row r="12" spans="1:18" x14ac:dyDescent="0.25">
      <c r="A12" s="4" t="s">
        <v>9</v>
      </c>
      <c r="B12" s="68">
        <v>2935</v>
      </c>
      <c r="C12" s="111">
        <v>168</v>
      </c>
      <c r="D12" s="24">
        <f>(68*0.6)+(100*0.7)</f>
        <v>110.8</v>
      </c>
      <c r="E12" s="62">
        <f t="shared" si="0"/>
        <v>26.489169675090253</v>
      </c>
      <c r="F12" s="86"/>
      <c r="G12" s="37">
        <f t="shared" si="1"/>
        <v>0.65952380952380951</v>
      </c>
      <c r="H12" s="11">
        <v>1119</v>
      </c>
      <c r="I12" s="2">
        <v>90</v>
      </c>
      <c r="J12" s="5">
        <v>75</v>
      </c>
      <c r="K12" s="22">
        <f t="shared" si="4"/>
        <v>0.83333333333333337</v>
      </c>
      <c r="L12" s="26">
        <f t="shared" si="2"/>
        <v>14.92</v>
      </c>
      <c r="M12" s="82">
        <f>AVERAGE(L7:L16)</f>
        <v>17.414169754236166</v>
      </c>
      <c r="N12" s="7">
        <f t="shared" si="5"/>
        <v>2.0454545454545454</v>
      </c>
      <c r="O12" s="97">
        <v>44</v>
      </c>
      <c r="P12" s="93">
        <f t="shared" si="6"/>
        <v>11035</v>
      </c>
      <c r="Q12" s="1">
        <f t="shared" si="3"/>
        <v>7829</v>
      </c>
    </row>
    <row r="13" spans="1:18" x14ac:dyDescent="0.25">
      <c r="A13" s="4" t="s">
        <v>10</v>
      </c>
      <c r="B13" s="68">
        <v>2934</v>
      </c>
      <c r="C13" s="111">
        <v>168</v>
      </c>
      <c r="D13" s="24">
        <f>(68*0.6)+(100*0.6)</f>
        <v>100.8</v>
      </c>
      <c r="E13" s="62">
        <f t="shared" si="0"/>
        <v>29.107142857142858</v>
      </c>
      <c r="F13" s="86"/>
      <c r="G13" s="37">
        <f t="shared" si="1"/>
        <v>0.6</v>
      </c>
      <c r="H13" s="11">
        <v>1622</v>
      </c>
      <c r="I13" s="2">
        <v>85</v>
      </c>
      <c r="J13" s="5">
        <v>62</v>
      </c>
      <c r="K13" s="22">
        <f t="shared" si="4"/>
        <v>0.72941176470588232</v>
      </c>
      <c r="L13" s="26">
        <f t="shared" si="2"/>
        <v>26.161290322580644</v>
      </c>
      <c r="M13" s="81"/>
      <c r="N13" s="7">
        <f t="shared" si="5"/>
        <v>2.0238095238095237</v>
      </c>
      <c r="O13" s="97">
        <v>42</v>
      </c>
      <c r="P13" s="93">
        <f t="shared" si="6"/>
        <v>13969</v>
      </c>
      <c r="Q13" s="1">
        <f t="shared" si="3"/>
        <v>9451</v>
      </c>
    </row>
    <row r="14" spans="1:18" x14ac:dyDescent="0.25">
      <c r="A14" s="4" t="s">
        <v>0</v>
      </c>
      <c r="B14" s="68">
        <v>2935</v>
      </c>
      <c r="C14" s="111">
        <v>168</v>
      </c>
      <c r="D14" s="24">
        <f>(68*0.6)+(100*0.6)</f>
        <v>100.8</v>
      </c>
      <c r="E14" s="62">
        <f t="shared" si="0"/>
        <v>29.117063492063494</v>
      </c>
      <c r="F14" s="89"/>
      <c r="G14" s="37">
        <f t="shared" si="1"/>
        <v>0.6</v>
      </c>
      <c r="H14" s="11">
        <v>1003</v>
      </c>
      <c r="I14" s="2">
        <v>116</v>
      </c>
      <c r="J14" s="5">
        <v>74</v>
      </c>
      <c r="K14" s="22">
        <f t="shared" si="4"/>
        <v>0.63793103448275867</v>
      </c>
      <c r="L14" s="26">
        <f t="shared" si="2"/>
        <v>13.554054054054054</v>
      </c>
      <c r="M14" s="81"/>
      <c r="N14" s="7">
        <f t="shared" si="5"/>
        <v>2.0714285714285716</v>
      </c>
      <c r="O14" s="97">
        <v>56</v>
      </c>
      <c r="P14" s="93">
        <f t="shared" si="6"/>
        <v>16904</v>
      </c>
      <c r="Q14" s="1">
        <f t="shared" si="3"/>
        <v>10454</v>
      </c>
    </row>
    <row r="15" spans="1:18" ht="17.25" customHeight="1" x14ac:dyDescent="0.25">
      <c r="A15" s="4" t="s">
        <v>1</v>
      </c>
      <c r="B15" s="68">
        <v>2934</v>
      </c>
      <c r="C15" s="111">
        <v>168</v>
      </c>
      <c r="D15" s="24">
        <f>(68*0.6)+(100*0.6)</f>
        <v>100.8</v>
      </c>
      <c r="E15" s="62">
        <f t="shared" si="0"/>
        <v>29.107142857142858</v>
      </c>
      <c r="F15" s="90"/>
      <c r="G15" s="37">
        <f t="shared" si="1"/>
        <v>0.6</v>
      </c>
      <c r="H15" s="11">
        <v>2066</v>
      </c>
      <c r="I15" s="2">
        <v>201</v>
      </c>
      <c r="J15" s="5">
        <v>133</v>
      </c>
      <c r="K15" s="22">
        <f t="shared" si="4"/>
        <v>0.6616915422885572</v>
      </c>
      <c r="L15" s="26">
        <f t="shared" si="2"/>
        <v>15.533834586466165</v>
      </c>
      <c r="M15" s="81"/>
      <c r="N15" s="7">
        <f t="shared" si="5"/>
        <v>1.5826771653543308</v>
      </c>
      <c r="O15" s="97">
        <v>127</v>
      </c>
      <c r="P15" s="93">
        <f t="shared" si="6"/>
        <v>19838</v>
      </c>
      <c r="Q15" s="1">
        <f t="shared" si="3"/>
        <v>12520</v>
      </c>
    </row>
    <row r="16" spans="1:18" ht="15.75" thickBot="1" x14ac:dyDescent="0.3">
      <c r="A16" s="8" t="s">
        <v>19</v>
      </c>
      <c r="B16" s="65">
        <v>1961</v>
      </c>
      <c r="C16" s="8">
        <v>202</v>
      </c>
      <c r="D16" s="16">
        <v>133</v>
      </c>
      <c r="E16" s="27">
        <f t="shared" si="0"/>
        <v>14.744360902255639</v>
      </c>
      <c r="F16" s="88"/>
      <c r="G16" s="61">
        <f t="shared" si="1"/>
        <v>0.65841584158415845</v>
      </c>
      <c r="H16" s="19">
        <v>2340</v>
      </c>
      <c r="I16" s="8">
        <v>217</v>
      </c>
      <c r="J16" s="28">
        <v>156</v>
      </c>
      <c r="K16" s="29">
        <f t="shared" si="4"/>
        <v>0.71889400921658986</v>
      </c>
      <c r="L16" s="84">
        <f t="shared" si="2"/>
        <v>15</v>
      </c>
      <c r="M16" s="83"/>
      <c r="N16" s="10">
        <f t="shared" si="5"/>
        <v>1.631578947368421</v>
      </c>
      <c r="O16" s="96">
        <v>133</v>
      </c>
      <c r="P16" s="93">
        <f t="shared" si="6"/>
        <v>21799</v>
      </c>
      <c r="Q16" s="1">
        <f t="shared" si="3"/>
        <v>14860</v>
      </c>
    </row>
    <row r="17" spans="1:17" x14ac:dyDescent="0.25">
      <c r="A17" s="4" t="s">
        <v>2</v>
      </c>
      <c r="B17" s="66">
        <v>1962</v>
      </c>
      <c r="C17" s="111">
        <v>218</v>
      </c>
      <c r="D17" s="62">
        <v>117</v>
      </c>
      <c r="E17" s="62">
        <f t="shared" si="0"/>
        <v>16.76923076923077</v>
      </c>
      <c r="F17" s="86" t="s">
        <v>14</v>
      </c>
      <c r="G17" s="37">
        <f t="shared" si="1"/>
        <v>0.53669724770642202</v>
      </c>
      <c r="H17" s="20">
        <v>2500</v>
      </c>
      <c r="I17" s="2">
        <v>210</v>
      </c>
      <c r="J17" s="5">
        <v>170</v>
      </c>
      <c r="K17" s="22">
        <f t="shared" si="4"/>
        <v>0.80952380952380953</v>
      </c>
      <c r="L17" s="26">
        <f t="shared" si="2"/>
        <v>14.705882352941176</v>
      </c>
      <c r="M17" s="81"/>
      <c r="N17" s="7">
        <f t="shared" si="5"/>
        <v>1.5789473684210527</v>
      </c>
      <c r="O17" s="5">
        <v>133</v>
      </c>
      <c r="P17" s="74">
        <f t="shared" si="6"/>
        <v>23761</v>
      </c>
      <c r="Q17" s="1">
        <f t="shared" si="3"/>
        <v>17360</v>
      </c>
    </row>
    <row r="18" spans="1:17" x14ac:dyDescent="0.25">
      <c r="A18" s="4" t="s">
        <v>3</v>
      </c>
      <c r="B18" s="66">
        <v>1961</v>
      </c>
      <c r="C18" s="111">
        <v>168</v>
      </c>
      <c r="D18" s="24">
        <v>161</v>
      </c>
      <c r="E18" s="62">
        <f t="shared" si="0"/>
        <v>12.180124223602485</v>
      </c>
      <c r="F18" s="90"/>
      <c r="G18" s="37">
        <f t="shared" si="1"/>
        <v>0.95833333333333337</v>
      </c>
      <c r="H18" s="20">
        <v>3359</v>
      </c>
      <c r="I18" s="2">
        <v>201</v>
      </c>
      <c r="J18" s="5">
        <v>162</v>
      </c>
      <c r="K18" s="22">
        <f t="shared" si="4"/>
        <v>0.80597014925373134</v>
      </c>
      <c r="L18" s="26">
        <f t="shared" si="2"/>
        <v>20.734567901234566</v>
      </c>
      <c r="M18" s="81"/>
      <c r="N18" s="7">
        <f t="shared" si="5"/>
        <v>1.5112781954887218</v>
      </c>
      <c r="O18" s="5">
        <v>133</v>
      </c>
      <c r="P18" s="74">
        <f t="shared" si="6"/>
        <v>25722</v>
      </c>
      <c r="Q18" s="1">
        <f t="shared" si="3"/>
        <v>20719</v>
      </c>
    </row>
    <row r="19" spans="1:17" x14ac:dyDescent="0.25">
      <c r="A19" s="4" t="s">
        <v>4</v>
      </c>
      <c r="B19" s="66">
        <v>1962</v>
      </c>
      <c r="C19" s="111">
        <v>176</v>
      </c>
      <c r="D19" s="62">
        <v>157</v>
      </c>
      <c r="E19" s="62">
        <f t="shared" si="0"/>
        <v>12.496815286624203</v>
      </c>
      <c r="F19" s="87">
        <f>AVERAGE(E17:E22)</f>
        <v>12.881396109869344</v>
      </c>
      <c r="G19" s="37">
        <f t="shared" si="1"/>
        <v>0.89204545454545459</v>
      </c>
      <c r="H19" s="20">
        <v>3783</v>
      </c>
      <c r="I19" s="2">
        <v>178</v>
      </c>
      <c r="J19" s="5">
        <v>140</v>
      </c>
      <c r="K19" s="22">
        <f t="shared" si="4"/>
        <v>0.7865168539325843</v>
      </c>
      <c r="L19" s="26">
        <f t="shared" si="2"/>
        <v>27.021428571428572</v>
      </c>
      <c r="M19" s="81"/>
      <c r="N19" s="7">
        <f t="shared" si="5"/>
        <v>1.3798449612403101</v>
      </c>
      <c r="O19" s="5">
        <v>129</v>
      </c>
      <c r="P19" s="74">
        <f t="shared" si="6"/>
        <v>27684</v>
      </c>
      <c r="Q19" s="1">
        <f t="shared" si="3"/>
        <v>24502</v>
      </c>
    </row>
    <row r="20" spans="1:17" x14ac:dyDescent="0.25">
      <c r="A20" s="4" t="s">
        <v>5</v>
      </c>
      <c r="B20" s="66">
        <v>1962</v>
      </c>
      <c r="C20" s="111">
        <v>200</v>
      </c>
      <c r="D20" s="24">
        <v>170</v>
      </c>
      <c r="E20" s="62">
        <f t="shared" si="0"/>
        <v>11.541176470588235</v>
      </c>
      <c r="F20" s="86"/>
      <c r="G20" s="37">
        <f t="shared" si="1"/>
        <v>0.85</v>
      </c>
      <c r="H20" s="20">
        <v>5190</v>
      </c>
      <c r="I20" s="2">
        <v>202</v>
      </c>
      <c r="J20" s="5">
        <v>148</v>
      </c>
      <c r="K20" s="22">
        <f t="shared" si="4"/>
        <v>0.73267326732673266</v>
      </c>
      <c r="L20" s="26">
        <f t="shared" si="2"/>
        <v>35.067567567567565</v>
      </c>
      <c r="M20" s="82">
        <f>AVERAGE(L17:L22)</f>
        <v>21.279076527284257</v>
      </c>
      <c r="N20" s="7">
        <f t="shared" si="5"/>
        <v>1.5419847328244274</v>
      </c>
      <c r="O20" s="5">
        <v>131</v>
      </c>
      <c r="P20" s="74">
        <f t="shared" si="6"/>
        <v>29646</v>
      </c>
      <c r="Q20" s="1">
        <f t="shared" si="3"/>
        <v>29692</v>
      </c>
    </row>
    <row r="21" spans="1:17" x14ac:dyDescent="0.25">
      <c r="A21" s="4" t="s">
        <v>6</v>
      </c>
      <c r="B21" s="66">
        <v>1962</v>
      </c>
      <c r="C21" s="111">
        <v>223</v>
      </c>
      <c r="D21" s="24">
        <v>179</v>
      </c>
      <c r="E21" s="62">
        <f t="shared" si="0"/>
        <v>10.960893854748603</v>
      </c>
      <c r="F21" s="86"/>
      <c r="G21" s="37">
        <f t="shared" si="1"/>
        <v>0.80269058295964124</v>
      </c>
      <c r="H21" s="20">
        <v>2778</v>
      </c>
      <c r="I21" s="2">
        <v>223</v>
      </c>
      <c r="J21" s="5">
        <v>173</v>
      </c>
      <c r="K21" s="22">
        <f t="shared" si="4"/>
        <v>0.77578475336322872</v>
      </c>
      <c r="L21" s="26">
        <f t="shared" si="2"/>
        <v>16.057803468208093</v>
      </c>
      <c r="M21" s="81"/>
      <c r="N21" s="7">
        <f t="shared" si="5"/>
        <v>1.6518518518518519</v>
      </c>
      <c r="O21" s="5">
        <v>135</v>
      </c>
      <c r="P21" s="74">
        <f t="shared" si="6"/>
        <v>31608</v>
      </c>
      <c r="Q21" s="1">
        <f t="shared" si="3"/>
        <v>32470</v>
      </c>
    </row>
    <row r="22" spans="1:17" ht="15.75" thickBot="1" x14ac:dyDescent="0.3">
      <c r="A22" s="8" t="s">
        <v>7</v>
      </c>
      <c r="B22" s="16">
        <v>1961</v>
      </c>
      <c r="C22" s="8">
        <v>258</v>
      </c>
      <c r="D22" s="27">
        <v>147</v>
      </c>
      <c r="E22" s="27">
        <f t="shared" si="0"/>
        <v>13.34013605442177</v>
      </c>
      <c r="F22" s="88"/>
      <c r="G22" s="61">
        <f t="shared" si="1"/>
        <v>0.56976744186046513</v>
      </c>
      <c r="H22" s="16">
        <v>2423</v>
      </c>
      <c r="I22" s="8">
        <v>216</v>
      </c>
      <c r="J22" s="28">
        <v>172</v>
      </c>
      <c r="K22" s="29">
        <f t="shared" si="4"/>
        <v>0.79629629629629628</v>
      </c>
      <c r="L22" s="84">
        <f t="shared" si="2"/>
        <v>14.087209302325581</v>
      </c>
      <c r="M22" s="83"/>
      <c r="N22" s="10">
        <f t="shared" si="5"/>
        <v>1.5652173913043479</v>
      </c>
      <c r="O22" s="9">
        <v>138</v>
      </c>
      <c r="P22" s="74">
        <f t="shared" si="6"/>
        <v>33569</v>
      </c>
      <c r="Q22" s="1">
        <f t="shared" si="3"/>
        <v>34893</v>
      </c>
    </row>
    <row r="23" spans="1:17" x14ac:dyDescent="0.25">
      <c r="A23" s="2" t="s">
        <v>8</v>
      </c>
      <c r="B23" s="66">
        <v>1962</v>
      </c>
      <c r="C23" s="111">
        <v>278</v>
      </c>
      <c r="D23" s="24">
        <v>235</v>
      </c>
      <c r="E23" s="62">
        <f t="shared" si="0"/>
        <v>8.3489361702127667</v>
      </c>
      <c r="F23" s="86" t="s">
        <v>15</v>
      </c>
      <c r="G23" s="37">
        <f t="shared" si="1"/>
        <v>0.84532374100719421</v>
      </c>
      <c r="H23" s="20">
        <v>3010</v>
      </c>
      <c r="I23" s="2">
        <v>224</v>
      </c>
      <c r="J23" s="5">
        <v>185</v>
      </c>
      <c r="K23" s="22">
        <f t="shared" si="4"/>
        <v>0.8258928571428571</v>
      </c>
      <c r="L23" s="26">
        <f t="shared" si="2"/>
        <v>16.27027027027027</v>
      </c>
      <c r="M23" s="81"/>
      <c r="N23" s="7">
        <f t="shared" si="5"/>
        <v>1.4933333333333334</v>
      </c>
      <c r="O23" s="1">
        <v>150</v>
      </c>
      <c r="P23" s="74">
        <f t="shared" si="6"/>
        <v>35531</v>
      </c>
      <c r="Q23" s="1">
        <f t="shared" si="3"/>
        <v>37903</v>
      </c>
    </row>
    <row r="24" spans="1:17" x14ac:dyDescent="0.25">
      <c r="A24" s="2" t="s">
        <v>9</v>
      </c>
      <c r="B24" s="66">
        <v>1961</v>
      </c>
      <c r="C24" s="2">
        <v>322</v>
      </c>
      <c r="D24" s="24">
        <v>285</v>
      </c>
      <c r="E24" s="62">
        <f t="shared" si="0"/>
        <v>6.8807017543859645</v>
      </c>
      <c r="F24" s="86"/>
      <c r="G24" s="37">
        <f t="shared" si="1"/>
        <v>0.8850931677018633</v>
      </c>
      <c r="H24" s="20">
        <v>3586</v>
      </c>
      <c r="I24" s="2">
        <v>230</v>
      </c>
      <c r="J24" s="5">
        <v>191</v>
      </c>
      <c r="K24" s="22">
        <f t="shared" si="4"/>
        <v>0.83043478260869563</v>
      </c>
      <c r="L24" s="26">
        <f t="shared" si="2"/>
        <v>18.774869109947645</v>
      </c>
      <c r="M24" s="81"/>
      <c r="N24" s="7">
        <f t="shared" si="5"/>
        <v>1.5231788079470199</v>
      </c>
      <c r="O24" s="1">
        <v>151</v>
      </c>
      <c r="P24" s="74">
        <f t="shared" si="6"/>
        <v>37492</v>
      </c>
      <c r="Q24" s="1">
        <f t="shared" si="3"/>
        <v>41489</v>
      </c>
    </row>
    <row r="25" spans="1:17" x14ac:dyDescent="0.25">
      <c r="A25" s="2" t="s">
        <v>10</v>
      </c>
      <c r="B25" s="66">
        <v>1962</v>
      </c>
      <c r="C25" s="2">
        <v>322</v>
      </c>
      <c r="D25" s="24">
        <v>262</v>
      </c>
      <c r="E25" s="62">
        <f t="shared" si="0"/>
        <v>7.4885496183206106</v>
      </c>
      <c r="F25" s="86"/>
      <c r="G25" s="37">
        <f t="shared" si="1"/>
        <v>0.81366459627329191</v>
      </c>
      <c r="H25" s="20">
        <v>4320</v>
      </c>
      <c r="I25" s="2">
        <v>237</v>
      </c>
      <c r="J25" s="5">
        <v>194</v>
      </c>
      <c r="K25" s="22">
        <f t="shared" si="4"/>
        <v>0.81856540084388185</v>
      </c>
      <c r="L25" s="26">
        <f t="shared" si="2"/>
        <v>22.268041237113401</v>
      </c>
      <c r="M25" s="81"/>
      <c r="N25" s="7">
        <f t="shared" si="5"/>
        <v>1.4539877300613497</v>
      </c>
      <c r="O25" s="1">
        <v>163</v>
      </c>
      <c r="P25" s="74">
        <f t="shared" si="6"/>
        <v>39454</v>
      </c>
      <c r="Q25" s="1">
        <f t="shared" si="3"/>
        <v>45809</v>
      </c>
    </row>
    <row r="26" spans="1:17" x14ac:dyDescent="0.25">
      <c r="A26" s="2" t="s">
        <v>0</v>
      </c>
      <c r="B26" s="66">
        <v>1961</v>
      </c>
      <c r="C26" s="2">
        <v>322</v>
      </c>
      <c r="D26" s="24">
        <v>247</v>
      </c>
      <c r="E26" s="62">
        <f t="shared" si="0"/>
        <v>7.9392712550607287</v>
      </c>
      <c r="F26" s="86"/>
      <c r="G26" s="37">
        <f t="shared" si="1"/>
        <v>0.76708074534161486</v>
      </c>
      <c r="H26" s="20">
        <v>2635</v>
      </c>
      <c r="I26" s="2">
        <v>248</v>
      </c>
      <c r="J26" s="5">
        <v>196</v>
      </c>
      <c r="K26" s="22">
        <f t="shared" si="4"/>
        <v>0.79032258064516125</v>
      </c>
      <c r="L26" s="26">
        <f t="shared" si="2"/>
        <v>13.443877551020408</v>
      </c>
      <c r="M26" s="81"/>
      <c r="N26" s="7">
        <f t="shared" si="5"/>
        <v>1.5030303030303029</v>
      </c>
      <c r="O26" s="1">
        <v>165</v>
      </c>
      <c r="P26" s="74">
        <f t="shared" si="6"/>
        <v>41415</v>
      </c>
      <c r="Q26" s="1">
        <f t="shared" si="3"/>
        <v>48444</v>
      </c>
    </row>
    <row r="27" spans="1:17" x14ac:dyDescent="0.25">
      <c r="A27" s="2" t="s">
        <v>1</v>
      </c>
      <c r="B27" s="66">
        <v>1962</v>
      </c>
      <c r="C27" s="2">
        <v>312</v>
      </c>
      <c r="D27" s="24">
        <v>222</v>
      </c>
      <c r="E27" s="62">
        <f t="shared" si="0"/>
        <v>8.8378378378378386</v>
      </c>
      <c r="F27" s="86"/>
      <c r="G27" s="37">
        <f t="shared" si="1"/>
        <v>0.71153846153846156</v>
      </c>
      <c r="H27" s="11">
        <v>3418</v>
      </c>
      <c r="I27" s="2">
        <v>256</v>
      </c>
      <c r="J27" s="5">
        <v>196</v>
      </c>
      <c r="K27" s="22">
        <f t="shared" si="4"/>
        <v>0.765625</v>
      </c>
      <c r="L27" s="26">
        <f t="shared" si="2"/>
        <v>17.438775510204081</v>
      </c>
      <c r="M27" s="81"/>
      <c r="N27" s="7">
        <f t="shared" si="5"/>
        <v>1.5900621118012421</v>
      </c>
      <c r="O27" s="1">
        <v>161</v>
      </c>
      <c r="P27" s="74">
        <f t="shared" si="6"/>
        <v>43377</v>
      </c>
      <c r="Q27" s="1">
        <f t="shared" si="3"/>
        <v>51862</v>
      </c>
    </row>
    <row r="28" spans="1:17" x14ac:dyDescent="0.25">
      <c r="A28" s="2" t="s">
        <v>20</v>
      </c>
      <c r="B28" s="67">
        <v>2593</v>
      </c>
      <c r="C28" s="2">
        <v>312</v>
      </c>
      <c r="D28" s="24">
        <v>202</v>
      </c>
      <c r="E28" s="62">
        <f t="shared" si="0"/>
        <v>12.836633663366337</v>
      </c>
      <c r="F28" s="87">
        <f>AVERAGE(E23:E34)</f>
        <v>11.064670548988735</v>
      </c>
      <c r="G28" s="37">
        <f t="shared" si="1"/>
        <v>0.64743589743589747</v>
      </c>
      <c r="H28" s="11">
        <v>3429</v>
      </c>
      <c r="I28" s="2">
        <v>307</v>
      </c>
      <c r="J28" s="5">
        <v>218</v>
      </c>
      <c r="K28" s="22">
        <f t="shared" si="4"/>
        <v>0.71009771986970682</v>
      </c>
      <c r="L28" s="26">
        <f t="shared" si="2"/>
        <v>15.729357798165138</v>
      </c>
      <c r="M28" s="82">
        <f>AVERAGE(L23:L34)</f>
        <v>16.193374676656383</v>
      </c>
      <c r="N28" s="7">
        <f t="shared" si="5"/>
        <v>1.8834355828220859</v>
      </c>
      <c r="O28" s="1">
        <v>163</v>
      </c>
      <c r="P28" s="74">
        <f t="shared" si="6"/>
        <v>45970</v>
      </c>
      <c r="Q28" s="1">
        <f t="shared" si="3"/>
        <v>55291</v>
      </c>
    </row>
    <row r="29" spans="1:17" ht="18" customHeight="1" x14ac:dyDescent="0.25">
      <c r="A29" s="2" t="s">
        <v>2</v>
      </c>
      <c r="B29" s="67">
        <v>2593</v>
      </c>
      <c r="C29" s="2">
        <v>312</v>
      </c>
      <c r="D29" s="24">
        <v>199</v>
      </c>
      <c r="E29" s="62">
        <f t="shared" si="0"/>
        <v>13.030150753768844</v>
      </c>
      <c r="F29" s="86"/>
      <c r="G29" s="37">
        <f t="shared" si="1"/>
        <v>0.63782051282051277</v>
      </c>
      <c r="H29" s="11">
        <v>2652</v>
      </c>
      <c r="I29" s="2">
        <v>423</v>
      </c>
      <c r="J29" s="5">
        <v>247</v>
      </c>
      <c r="K29" s="22">
        <f t="shared" si="4"/>
        <v>0.58392434988179664</v>
      </c>
      <c r="L29" s="26">
        <f t="shared" si="2"/>
        <v>10.736842105263158</v>
      </c>
      <c r="M29" s="81"/>
      <c r="N29" s="7">
        <f t="shared" si="5"/>
        <v>2.3631284916201118</v>
      </c>
      <c r="O29" s="1">
        <v>179</v>
      </c>
      <c r="P29" s="74">
        <f t="shared" si="6"/>
        <v>48563</v>
      </c>
      <c r="Q29" s="1">
        <f t="shared" si="3"/>
        <v>57943</v>
      </c>
    </row>
    <row r="30" spans="1:17" x14ac:dyDescent="0.25">
      <c r="A30" s="2" t="s">
        <v>3</v>
      </c>
      <c r="B30" s="67">
        <v>2593</v>
      </c>
      <c r="C30" s="2">
        <v>312</v>
      </c>
      <c r="D30" s="24">
        <v>197</v>
      </c>
      <c r="E30" s="62">
        <f t="shared" si="0"/>
        <v>13.162436548223351</v>
      </c>
      <c r="F30" s="86"/>
      <c r="G30" s="37">
        <f t="shared" si="1"/>
        <v>0.63141025641025639</v>
      </c>
      <c r="H30" s="11">
        <v>3632</v>
      </c>
      <c r="I30" s="2">
        <v>441</v>
      </c>
      <c r="J30" s="5">
        <v>226</v>
      </c>
      <c r="K30" s="22">
        <f t="shared" si="4"/>
        <v>0.51247165532879824</v>
      </c>
      <c r="L30" s="26">
        <f t="shared" si="2"/>
        <v>16.070796460176989</v>
      </c>
      <c r="M30" s="81"/>
      <c r="N30" s="7">
        <f t="shared" si="5"/>
        <v>1.96875</v>
      </c>
      <c r="O30" s="1">
        <v>224</v>
      </c>
      <c r="P30" s="74">
        <f t="shared" si="6"/>
        <v>51156</v>
      </c>
      <c r="Q30" s="1">
        <f t="shared" si="3"/>
        <v>61575</v>
      </c>
    </row>
    <row r="31" spans="1:17" x14ac:dyDescent="0.25">
      <c r="A31" s="2" t="s">
        <v>4</v>
      </c>
      <c r="B31" s="67">
        <v>2593</v>
      </c>
      <c r="C31" s="111">
        <v>312</v>
      </c>
      <c r="D31" s="24">
        <v>195</v>
      </c>
      <c r="E31" s="62">
        <f t="shared" si="0"/>
        <v>13.297435897435898</v>
      </c>
      <c r="F31" s="86"/>
      <c r="G31" s="37">
        <f t="shared" si="1"/>
        <v>0.625</v>
      </c>
      <c r="H31" s="11">
        <v>5346</v>
      </c>
      <c r="I31" s="2">
        <v>528</v>
      </c>
      <c r="J31" s="5">
        <v>347</v>
      </c>
      <c r="K31" s="22">
        <f t="shared" si="4"/>
        <v>0.65719696969696972</v>
      </c>
      <c r="L31" s="26">
        <f t="shared" si="2"/>
        <v>15.406340057636887</v>
      </c>
      <c r="M31" s="81"/>
      <c r="N31" s="7">
        <f t="shared" si="5"/>
        <v>1.9924528301886792</v>
      </c>
      <c r="O31" s="1">
        <v>265</v>
      </c>
      <c r="P31" s="74">
        <f t="shared" si="6"/>
        <v>53749</v>
      </c>
      <c r="Q31" s="1">
        <f t="shared" si="3"/>
        <v>66921</v>
      </c>
    </row>
    <row r="32" spans="1:17" x14ac:dyDescent="0.25">
      <c r="A32" s="2" t="s">
        <v>5</v>
      </c>
      <c r="B32" s="67">
        <v>2594</v>
      </c>
      <c r="C32" s="111">
        <v>312</v>
      </c>
      <c r="D32" s="24">
        <v>193</v>
      </c>
      <c r="E32" s="62">
        <f t="shared" si="0"/>
        <v>13.440414507772021</v>
      </c>
      <c r="F32" s="86"/>
      <c r="G32" s="37">
        <f t="shared" si="1"/>
        <v>0.61858974358974361</v>
      </c>
      <c r="H32" s="11">
        <v>6721</v>
      </c>
      <c r="I32" s="2">
        <v>576</v>
      </c>
      <c r="J32" s="5">
        <v>459</v>
      </c>
      <c r="K32" s="22">
        <f t="shared" si="4"/>
        <v>0.796875</v>
      </c>
      <c r="L32" s="26">
        <f t="shared" si="2"/>
        <v>14.642701525054466</v>
      </c>
      <c r="M32" s="81"/>
      <c r="N32" s="7">
        <f t="shared" si="5"/>
        <v>2.0794223826714799</v>
      </c>
      <c r="O32" s="1">
        <v>277</v>
      </c>
      <c r="P32" s="74">
        <f t="shared" si="6"/>
        <v>56343</v>
      </c>
      <c r="Q32" s="1">
        <f t="shared" si="3"/>
        <v>73642</v>
      </c>
    </row>
    <row r="33" spans="1:17" x14ac:dyDescent="0.25">
      <c r="A33" s="2" t="s">
        <v>6</v>
      </c>
      <c r="B33" s="67">
        <v>2593</v>
      </c>
      <c r="C33" s="111">
        <v>312</v>
      </c>
      <c r="D33" s="24">
        <v>190</v>
      </c>
      <c r="E33" s="62">
        <f t="shared" si="0"/>
        <v>13.647368421052631</v>
      </c>
      <c r="F33" s="86"/>
      <c r="G33" s="37">
        <f t="shared" si="1"/>
        <v>0.60897435897435892</v>
      </c>
      <c r="H33" s="11">
        <v>7696</v>
      </c>
      <c r="I33" s="2">
        <v>535</v>
      </c>
      <c r="J33" s="5">
        <v>408</v>
      </c>
      <c r="K33" s="22">
        <f t="shared" si="4"/>
        <v>0.76261682242990658</v>
      </c>
      <c r="L33" s="26">
        <f t="shared" si="2"/>
        <v>18.862745098039216</v>
      </c>
      <c r="M33" s="81"/>
      <c r="N33" s="7">
        <f t="shared" si="5"/>
        <v>1.9597069597069596</v>
      </c>
      <c r="O33" s="1">
        <v>273</v>
      </c>
      <c r="P33" s="74">
        <f>P32+B33</f>
        <v>58936</v>
      </c>
      <c r="Q33" s="1">
        <f t="shared" si="3"/>
        <v>81338</v>
      </c>
    </row>
    <row r="34" spans="1:17" ht="15.75" thickBot="1" x14ac:dyDescent="0.3">
      <c r="A34" s="8" t="s">
        <v>7</v>
      </c>
      <c r="B34" s="16">
        <v>2593</v>
      </c>
      <c r="C34" s="8">
        <v>312</v>
      </c>
      <c r="D34" s="27">
        <v>187</v>
      </c>
      <c r="E34" s="27">
        <f t="shared" si="0"/>
        <v>13.866310160427808</v>
      </c>
      <c r="F34" s="88" t="s">
        <v>35</v>
      </c>
      <c r="G34" s="61">
        <f t="shared" si="1"/>
        <v>0.59935897435897434</v>
      </c>
      <c r="H34" s="16">
        <v>5841</v>
      </c>
      <c r="I34" s="8">
        <v>489</v>
      </c>
      <c r="J34" s="28">
        <v>398</v>
      </c>
      <c r="K34" s="29">
        <f t="shared" si="4"/>
        <v>0.81390593047034765</v>
      </c>
      <c r="L34" s="84">
        <f t="shared" si="2"/>
        <v>14.675879396984925</v>
      </c>
      <c r="M34" s="83"/>
      <c r="N34" s="10">
        <f t="shared" si="5"/>
        <v>1.6464646464646464</v>
      </c>
      <c r="O34" s="9">
        <v>297</v>
      </c>
      <c r="P34" s="74">
        <f t="shared" si="6"/>
        <v>61529</v>
      </c>
      <c r="Q34" s="1">
        <f t="shared" si="3"/>
        <v>87179</v>
      </c>
    </row>
    <row r="35" spans="1:17" x14ac:dyDescent="0.25">
      <c r="B35" s="31" t="s">
        <v>21</v>
      </c>
      <c r="C35" s="111"/>
      <c r="D35" s="112"/>
      <c r="E35" s="113" t="s">
        <v>27</v>
      </c>
      <c r="F35" s="38" t="s">
        <v>27</v>
      </c>
      <c r="G35" s="38" t="s">
        <v>27</v>
      </c>
      <c r="H35" s="31" t="s">
        <v>21</v>
      </c>
      <c r="I35"/>
      <c r="J35" s="13"/>
      <c r="K35" s="38" t="s">
        <v>27</v>
      </c>
      <c r="L35" s="38" t="s">
        <v>27</v>
      </c>
      <c r="M35" s="38" t="s">
        <v>27</v>
      </c>
      <c r="N35" s="38" t="s">
        <v>27</v>
      </c>
    </row>
    <row r="36" spans="1:17" x14ac:dyDescent="0.25">
      <c r="B36" s="114">
        <f>SUM(B2:B34)</f>
        <v>61529</v>
      </c>
      <c r="C36" s="114"/>
      <c r="D36" s="112"/>
      <c r="E36" s="115">
        <f>AVERAGE(E2:E34)</f>
        <v>13.496288093110435</v>
      </c>
      <c r="F36" s="36">
        <f>AVERAGE(F4,F11,F19,F28)</f>
        <v>13.184633937813208</v>
      </c>
      <c r="G36" s="39">
        <f>AVERAGE(G2:G34)</f>
        <v>0.7455821413807544</v>
      </c>
      <c r="H36" s="32">
        <f>SUM(H2:H34)</f>
        <v>87179</v>
      </c>
      <c r="I36"/>
      <c r="J36" s="7"/>
      <c r="K36" s="39">
        <f>AVERAGE(K3:K34)</f>
        <v>0.80658104410304199</v>
      </c>
      <c r="L36" s="36">
        <f>AVERAGE(L3:L34)</f>
        <v>17.612365303875158</v>
      </c>
      <c r="M36" s="36">
        <f>AVERAGE(M2:M34)</f>
        <v>17.937845045673029</v>
      </c>
      <c r="N36" s="40">
        <f>AVERAGE(N3:N34)</f>
        <v>1.6275314304526571</v>
      </c>
    </row>
    <row r="37" spans="1:17" ht="15.75" thickBot="1" x14ac:dyDescent="0.3">
      <c r="A37" s="6"/>
      <c r="B37" s="6"/>
      <c r="C37" s="54"/>
      <c r="E37" s="6"/>
      <c r="F37" s="6"/>
      <c r="G37" s="6"/>
      <c r="H37" s="55"/>
      <c r="I37" s="5"/>
      <c r="J37" s="26"/>
      <c r="K37" s="56"/>
      <c r="L37" s="13"/>
      <c r="M37" s="5"/>
      <c r="N37" s="4"/>
      <c r="P37" s="11"/>
    </row>
    <row r="38" spans="1:17" ht="15.75" thickTop="1" x14ac:dyDescent="0.25">
      <c r="A38" s="98"/>
      <c r="B38" s="99"/>
      <c r="C38" s="108" t="s">
        <v>56</v>
      </c>
      <c r="D38" s="108" t="s">
        <v>57</v>
      </c>
      <c r="E38" s="100"/>
    </row>
    <row r="39" spans="1:17" ht="65.25" customHeight="1" x14ac:dyDescent="0.25">
      <c r="A39" s="109" t="s">
        <v>58</v>
      </c>
      <c r="B39" s="116" t="s">
        <v>49</v>
      </c>
      <c r="C39" s="118" t="s">
        <v>50</v>
      </c>
      <c r="D39" s="117" t="s">
        <v>51</v>
      </c>
      <c r="E39" s="101"/>
      <c r="G39" s="73"/>
      <c r="I39" s="72" t="s">
        <v>42</v>
      </c>
      <c r="J39" s="72" t="s">
        <v>54</v>
      </c>
      <c r="K39" s="72" t="s">
        <v>43</v>
      </c>
      <c r="L39" s="72" t="s">
        <v>36</v>
      </c>
      <c r="M39" s="72" t="s">
        <v>43</v>
      </c>
    </row>
    <row r="40" spans="1:17" ht="40.5" customHeight="1" x14ac:dyDescent="0.25">
      <c r="A40" s="102" t="s">
        <v>38</v>
      </c>
      <c r="B40" s="63">
        <v>25</v>
      </c>
      <c r="C40" s="91">
        <f>AVERAGE(E12:E16)</f>
        <v>25.712975956739022</v>
      </c>
      <c r="D40" s="63">
        <f>AVERAGE(L12:L16)</f>
        <v>17.033835792620174</v>
      </c>
      <c r="E40" s="101"/>
      <c r="I40" s="62">
        <v>1950</v>
      </c>
      <c r="J40" s="64">
        <v>1079</v>
      </c>
      <c r="K40" s="64">
        <f>J40</f>
        <v>1079</v>
      </c>
      <c r="L40" s="68">
        <f>SUM(B2:B3)</f>
        <v>1079</v>
      </c>
      <c r="M40" s="67">
        <f>L40</f>
        <v>1079</v>
      </c>
    </row>
    <row r="41" spans="1:17" ht="25.5" x14ac:dyDescent="0.25">
      <c r="A41" s="103" t="s">
        <v>39</v>
      </c>
      <c r="B41" s="63">
        <v>13</v>
      </c>
      <c r="C41" s="91">
        <f>AVERAGE(E17:E22)</f>
        <v>12.881396109869344</v>
      </c>
      <c r="D41" s="63">
        <f>AVERAGE(L17:L22)</f>
        <v>21.279076527284257</v>
      </c>
      <c r="E41" s="101"/>
      <c r="I41" s="62">
        <v>1951</v>
      </c>
      <c r="J41" s="64">
        <v>18759</v>
      </c>
      <c r="K41" s="64">
        <f>K40+J41</f>
        <v>19838</v>
      </c>
      <c r="L41" s="68">
        <f>SUM(B4:B15)</f>
        <v>18759</v>
      </c>
      <c r="M41" s="67">
        <f>M40+L41</f>
        <v>19838</v>
      </c>
    </row>
    <row r="42" spans="1:17" ht="49.5" customHeight="1" thickBot="1" x14ac:dyDescent="0.3">
      <c r="A42" s="104" t="s">
        <v>40</v>
      </c>
      <c r="B42" s="105">
        <v>10</v>
      </c>
      <c r="C42" s="106">
        <f>AVERAGE(E23:E27)</f>
        <v>7.8990593271635818</v>
      </c>
      <c r="D42" s="105">
        <f>AVERAGE(L23:L27)</f>
        <v>17.639166735711164</v>
      </c>
      <c r="E42" s="107"/>
      <c r="I42" s="62">
        <v>1952</v>
      </c>
      <c r="J42" s="64">
        <v>23539</v>
      </c>
      <c r="K42" s="64">
        <f t="shared" ref="K42:K43" si="7">K41+J42</f>
        <v>43377</v>
      </c>
      <c r="L42" s="68">
        <f>SUM(B16:B27)</f>
        <v>23539</v>
      </c>
      <c r="M42" s="67">
        <f>M41+L42</f>
        <v>43377</v>
      </c>
    </row>
    <row r="43" spans="1:17" ht="15.75" thickTop="1" x14ac:dyDescent="0.25">
      <c r="A43" s="54"/>
      <c r="B43" s="57"/>
      <c r="F43" s="12"/>
      <c r="I43" s="62">
        <v>1953</v>
      </c>
      <c r="J43" s="69">
        <v>18152</v>
      </c>
      <c r="K43" s="64">
        <f t="shared" si="7"/>
        <v>61529</v>
      </c>
      <c r="L43" s="68">
        <f>SUM(B28:B34)</f>
        <v>18152</v>
      </c>
      <c r="M43" s="67">
        <f>M42+L43</f>
        <v>61529</v>
      </c>
    </row>
    <row r="44" spans="1:17" x14ac:dyDescent="0.25">
      <c r="A44" s="54"/>
      <c r="B44" s="57"/>
      <c r="C44" s="5"/>
      <c r="E44" s="51"/>
      <c r="F44" s="58"/>
      <c r="G44" s="5"/>
      <c r="I44" s="5"/>
      <c r="J44" s="70">
        <f>SUM(J40:J43)</f>
        <v>61529</v>
      </c>
      <c r="K44" s="64"/>
      <c r="L44" s="68">
        <f>SUM(L40:L43)</f>
        <v>61529</v>
      </c>
      <c r="M44" s="5"/>
    </row>
    <row r="45" spans="1:17" x14ac:dyDescent="0.25">
      <c r="A45" s="54"/>
      <c r="B45" s="57"/>
      <c r="C45" s="21"/>
      <c r="G45" s="5"/>
      <c r="I45" s="5"/>
      <c r="J45" s="71"/>
      <c r="K45" s="21"/>
      <c r="L45" s="21"/>
      <c r="M45" s="21"/>
    </row>
    <row r="46" spans="1:17" ht="30" x14ac:dyDescent="0.25">
      <c r="A46" s="6"/>
      <c r="B46" s="6"/>
      <c r="C46" s="5"/>
      <c r="D46" s="59"/>
      <c r="E46" s="51"/>
      <c r="F46" s="58"/>
      <c r="G46" s="5"/>
      <c r="I46" s="5"/>
      <c r="J46" s="78" t="s">
        <v>44</v>
      </c>
      <c r="K46" s="78">
        <f>SUM(B2:B10)</f>
        <v>6690</v>
      </c>
      <c r="L46" s="26"/>
      <c r="M46" s="21"/>
    </row>
    <row r="47" spans="1:17" ht="30" x14ac:dyDescent="0.25">
      <c r="A47" s="54"/>
      <c r="B47" s="57"/>
      <c r="C47" s="5"/>
      <c r="D47" s="59"/>
      <c r="E47" s="51"/>
      <c r="F47" s="58"/>
      <c r="G47" s="5"/>
      <c r="H47" s="5"/>
      <c r="I47" s="5"/>
      <c r="J47" s="79" t="s">
        <v>37</v>
      </c>
      <c r="K47" s="78">
        <f>SUM(B2:B17)</f>
        <v>23761</v>
      </c>
      <c r="L47" s="26"/>
      <c r="M47" s="5"/>
    </row>
    <row r="48" spans="1:17" x14ac:dyDescent="0.25">
      <c r="A48" s="54"/>
      <c r="B48" s="57"/>
      <c r="C48" s="5"/>
      <c r="D48" s="59"/>
      <c r="E48" s="51"/>
      <c r="F48" s="51"/>
      <c r="G48" s="5"/>
      <c r="H48" s="5"/>
      <c r="M48" s="5"/>
      <c r="N48" s="13"/>
    </row>
    <row r="49" spans="1:14" x14ac:dyDescent="0.25">
      <c r="A49" s="6"/>
      <c r="B49" s="6"/>
      <c r="C49" s="5"/>
      <c r="D49" s="59"/>
      <c r="E49" s="51"/>
      <c r="F49" s="58"/>
      <c r="G49" s="5"/>
      <c r="H49" s="5"/>
      <c r="M49" s="26"/>
      <c r="N49" s="13"/>
    </row>
    <row r="50" spans="1:14" x14ac:dyDescent="0.25">
      <c r="A50" s="6"/>
      <c r="B50" s="6"/>
      <c r="C50" s="5"/>
      <c r="D50" s="59"/>
      <c r="E50" s="51"/>
      <c r="F50" s="58"/>
      <c r="G50" s="5"/>
      <c r="H50" s="5"/>
      <c r="N50" s="13"/>
    </row>
    <row r="51" spans="1:14" x14ac:dyDescent="0.25">
      <c r="A51" s="6"/>
      <c r="B51" s="6"/>
      <c r="C51" s="5"/>
      <c r="D51" s="59"/>
      <c r="E51" s="51"/>
      <c r="F51" s="58"/>
      <c r="G51" s="5"/>
      <c r="H51" s="5"/>
      <c r="N51" s="13"/>
    </row>
    <row r="52" spans="1:14" x14ac:dyDescent="0.25">
      <c r="A52" s="6"/>
      <c r="B52" s="6"/>
      <c r="C52" s="5"/>
      <c r="D52" s="54"/>
      <c r="E52" s="51"/>
      <c r="F52" s="58"/>
      <c r="G52" s="5"/>
      <c r="H52" s="5"/>
      <c r="N52" s="13"/>
    </row>
    <row r="53" spans="1:14" x14ac:dyDescent="0.25">
      <c r="A53" s="6"/>
      <c r="B53" s="6"/>
      <c r="C53" s="5"/>
      <c r="D53" s="6"/>
      <c r="E53" s="51"/>
      <c r="F53" s="58"/>
      <c r="G53" s="5"/>
      <c r="H53" s="5"/>
      <c r="I53" s="5"/>
      <c r="J53" s="6"/>
      <c r="K53" s="68"/>
    </row>
    <row r="54" spans="1:14" x14ac:dyDescent="0.25">
      <c r="A54" s="6"/>
      <c r="B54" s="6"/>
      <c r="C54" s="5"/>
      <c r="D54" s="6"/>
      <c r="E54" s="6"/>
      <c r="F54" s="60"/>
      <c r="G54" s="60"/>
      <c r="H54" s="5"/>
      <c r="I54" s="5"/>
      <c r="J54" s="6"/>
      <c r="K54" s="5"/>
    </row>
    <row r="55" spans="1:14" x14ac:dyDescent="0.25">
      <c r="A55" s="6"/>
      <c r="B55" s="6"/>
      <c r="C55" s="5"/>
      <c r="D55" s="6"/>
      <c r="E55" s="6"/>
      <c r="F55" s="6"/>
      <c r="G55" s="5"/>
      <c r="H55" s="5"/>
      <c r="I55" s="5"/>
      <c r="J55" s="6"/>
      <c r="K55" s="5"/>
    </row>
    <row r="56" spans="1:14" x14ac:dyDescent="0.25">
      <c r="C56" s="1"/>
      <c r="G56" s="1"/>
    </row>
    <row r="57" spans="1:14" x14ac:dyDescent="0.25">
      <c r="C57" s="1"/>
      <c r="G57" s="1"/>
    </row>
    <row r="58" spans="1:14" x14ac:dyDescent="0.25">
      <c r="C58" s="1"/>
      <c r="G58" s="1"/>
    </row>
    <row r="59" spans="1:14" x14ac:dyDescent="0.25">
      <c r="C59" s="1"/>
      <c r="G59" s="1"/>
    </row>
    <row r="60" spans="1:14" x14ac:dyDescent="0.25">
      <c r="C60" s="1"/>
      <c r="G60" s="1"/>
    </row>
    <row r="61" spans="1:14" x14ac:dyDescent="0.25">
      <c r="C61" s="1"/>
      <c r="G61" s="1"/>
    </row>
    <row r="62" spans="1:14" x14ac:dyDescent="0.25">
      <c r="C62" s="1"/>
      <c r="G62" s="1"/>
    </row>
    <row r="63" spans="1:14" x14ac:dyDescent="0.25">
      <c r="C63" s="1"/>
      <c r="G63" s="1"/>
    </row>
    <row r="64" spans="1:14" x14ac:dyDescent="0.25">
      <c r="C64" s="1"/>
      <c r="G64" s="1"/>
    </row>
    <row r="65" spans="3:7" x14ac:dyDescent="0.25">
      <c r="C65" s="1"/>
      <c r="G65" s="1"/>
    </row>
    <row r="66" spans="3:7" x14ac:dyDescent="0.25">
      <c r="C66" s="1"/>
    </row>
    <row r="67" spans="3:7" x14ac:dyDescent="0.25">
      <c r="C67" s="1"/>
    </row>
    <row r="68" spans="3:7" x14ac:dyDescent="0.25">
      <c r="C68" s="1"/>
    </row>
    <row r="69" spans="3:7" x14ac:dyDescent="0.25">
      <c r="C69" s="1"/>
    </row>
    <row r="70" spans="3:7" x14ac:dyDescent="0.25">
      <c r="C70" s="1"/>
    </row>
    <row r="71" spans="3:7" x14ac:dyDescent="0.25">
      <c r="C71" s="1"/>
    </row>
    <row r="72" spans="3:7" x14ac:dyDescent="0.25">
      <c r="C72" s="1"/>
    </row>
    <row r="73" spans="3:7" x14ac:dyDescent="0.25">
      <c r="C73" s="1"/>
    </row>
    <row r="74" spans="3:7" x14ac:dyDescent="0.25">
      <c r="C74" s="1"/>
    </row>
    <row r="75" spans="3:7" x14ac:dyDescent="0.25">
      <c r="C75" s="1"/>
    </row>
    <row r="76" spans="3:7" x14ac:dyDescent="0.25">
      <c r="C76" s="1"/>
    </row>
    <row r="77" spans="3:7" x14ac:dyDescent="0.25">
      <c r="C77" s="1"/>
    </row>
    <row r="78" spans="3:7" x14ac:dyDescent="0.25">
      <c r="C78" s="1"/>
    </row>
    <row r="79" spans="3:7" x14ac:dyDescent="0.25">
      <c r="C79" s="1"/>
    </row>
    <row r="80" spans="3:7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8.140625" customWidth="1"/>
    <col min="2" max="2" width="23.42578125" customWidth="1"/>
    <col min="3" max="3" width="22.42578125" customWidth="1"/>
    <col min="4" max="4" width="22" style="5" customWidth="1"/>
    <col min="5" max="5" width="19.28515625" customWidth="1"/>
    <col min="6" max="6" width="22.5703125" customWidth="1"/>
    <col min="7" max="7" width="13.28515625" customWidth="1"/>
    <col min="8" max="8" width="17.5703125" style="1" customWidth="1"/>
    <col min="9" max="9" width="19.85546875" style="1" customWidth="1"/>
    <col min="10" max="10" width="14.140625" customWidth="1"/>
    <col min="11" max="11" width="16.7109375" style="1" customWidth="1"/>
    <col min="12" max="12" width="16.7109375" style="5" customWidth="1"/>
    <col min="13" max="13" width="23.140625" style="1" customWidth="1"/>
    <col min="14" max="14" width="16.42578125" style="5" customWidth="1"/>
    <col min="15" max="15" width="23.140625" style="52" customWidth="1"/>
    <col min="16" max="16" width="11.140625" style="1" customWidth="1"/>
    <col min="17" max="17" width="12" style="1" customWidth="1"/>
  </cols>
  <sheetData>
    <row r="1" spans="1:18" ht="69.75" customHeight="1" x14ac:dyDescent="0.25">
      <c r="A1" s="110" t="s">
        <v>69</v>
      </c>
      <c r="B1" s="43" t="s">
        <v>26</v>
      </c>
      <c r="C1" s="44" t="s">
        <v>68</v>
      </c>
      <c r="D1" s="44" t="s">
        <v>66</v>
      </c>
      <c r="E1" s="41" t="s">
        <v>47</v>
      </c>
      <c r="F1" s="85" t="s">
        <v>55</v>
      </c>
      <c r="G1" s="46" t="s">
        <v>41</v>
      </c>
      <c r="H1" s="44" t="s">
        <v>22</v>
      </c>
      <c r="I1" s="44" t="s">
        <v>31</v>
      </c>
      <c r="J1" s="48" t="s">
        <v>67</v>
      </c>
      <c r="K1" s="47" t="s">
        <v>48</v>
      </c>
      <c r="L1" s="41" t="s">
        <v>52</v>
      </c>
      <c r="M1" s="80" t="s">
        <v>53</v>
      </c>
      <c r="N1" s="44" t="s">
        <v>16</v>
      </c>
      <c r="O1" s="49" t="s">
        <v>23</v>
      </c>
      <c r="P1" s="92" t="s">
        <v>45</v>
      </c>
      <c r="Q1" s="44" t="s">
        <v>46</v>
      </c>
      <c r="R1" s="3"/>
    </row>
    <row r="2" spans="1:18" ht="18" customHeight="1" x14ac:dyDescent="0.25">
      <c r="A2" s="2" t="s">
        <v>61</v>
      </c>
      <c r="B2" s="119">
        <v>402</v>
      </c>
      <c r="C2" s="119">
        <v>114</v>
      </c>
      <c r="D2" s="120">
        <v>100</v>
      </c>
      <c r="E2" s="68">
        <f t="shared" ref="E2:E34" si="0">B2/D2</f>
        <v>4.0199999999999996</v>
      </c>
      <c r="F2" s="86" t="s">
        <v>12</v>
      </c>
      <c r="G2" s="37">
        <f>D2/C2</f>
        <v>0.8771929824561403</v>
      </c>
      <c r="H2" s="11"/>
      <c r="I2" s="2"/>
      <c r="J2" s="5"/>
      <c r="M2" s="77"/>
      <c r="N2" s="7"/>
      <c r="O2" s="94"/>
      <c r="P2" s="93">
        <f>B2</f>
        <v>402</v>
      </c>
      <c r="Q2" s="1">
        <v>0</v>
      </c>
    </row>
    <row r="3" spans="1:18" x14ac:dyDescent="0.25">
      <c r="A3" s="2" t="s">
        <v>62</v>
      </c>
      <c r="B3" s="119">
        <v>677</v>
      </c>
      <c r="C3" s="119">
        <v>68</v>
      </c>
      <c r="D3" s="119">
        <f>C3*0.95</f>
        <v>64.599999999999994</v>
      </c>
      <c r="E3" s="26">
        <f t="shared" si="0"/>
        <v>10.479876160990713</v>
      </c>
      <c r="F3" s="86"/>
      <c r="G3" s="37">
        <f t="shared" ref="G3:G34" si="1">D3/C3</f>
        <v>0.95</v>
      </c>
      <c r="H3" s="1">
        <v>236</v>
      </c>
      <c r="I3" s="2">
        <v>26</v>
      </c>
      <c r="J3" s="5">
        <v>26</v>
      </c>
      <c r="K3" s="22">
        <f>J3/I3</f>
        <v>1</v>
      </c>
      <c r="L3" s="26">
        <f t="shared" ref="L3:L34" si="2">H3/J3</f>
        <v>9.0769230769230766</v>
      </c>
      <c r="M3" s="81"/>
      <c r="N3" s="7">
        <f>I3/O3</f>
        <v>1.368421052631579</v>
      </c>
      <c r="O3" s="95">
        <v>19</v>
      </c>
      <c r="P3" s="93">
        <f>P2+B3</f>
        <v>1079</v>
      </c>
      <c r="Q3" s="1">
        <f>Q2+H3</f>
        <v>236</v>
      </c>
    </row>
    <row r="4" spans="1:18" x14ac:dyDescent="0.25">
      <c r="A4" s="2" t="s">
        <v>63</v>
      </c>
      <c r="B4" s="121">
        <v>455</v>
      </c>
      <c r="C4" s="119">
        <v>68</v>
      </c>
      <c r="D4" s="123">
        <f>C4*0.9</f>
        <v>61.2</v>
      </c>
      <c r="E4" s="26">
        <f t="shared" si="0"/>
        <v>7.4346405228758163</v>
      </c>
      <c r="F4" s="87">
        <f>AVERAGE(E2:E6)</f>
        <v>8.4564662193274032</v>
      </c>
      <c r="G4" s="37">
        <f t="shared" si="1"/>
        <v>0.9</v>
      </c>
      <c r="H4" s="5">
        <v>212</v>
      </c>
      <c r="I4" s="4">
        <v>6</v>
      </c>
      <c r="J4" s="5">
        <v>6</v>
      </c>
      <c r="K4" s="22">
        <f>J4/I4</f>
        <v>1</v>
      </c>
      <c r="L4" s="26">
        <f t="shared" si="2"/>
        <v>35.333333333333336</v>
      </c>
      <c r="M4" s="82">
        <f>AVERAGE(L3:L6)</f>
        <v>16.864759224515321</v>
      </c>
      <c r="N4" s="7">
        <f>I4/O4</f>
        <v>1.5</v>
      </c>
      <c r="O4" s="95">
        <v>4</v>
      </c>
      <c r="P4" s="93">
        <f>P3+B4</f>
        <v>1534</v>
      </c>
      <c r="Q4" s="1">
        <f t="shared" ref="Q4:Q34" si="3">Q3+H4</f>
        <v>448</v>
      </c>
    </row>
    <row r="5" spans="1:18" x14ac:dyDescent="0.25">
      <c r="A5" s="2" t="s">
        <v>64</v>
      </c>
      <c r="B5" s="121">
        <v>403</v>
      </c>
      <c r="C5" s="119">
        <v>32</v>
      </c>
      <c r="D5" s="123">
        <f>C5*0.92</f>
        <v>29.44</v>
      </c>
      <c r="E5" s="26">
        <f t="shared" si="0"/>
        <v>13.688858695652174</v>
      </c>
      <c r="F5" s="86"/>
      <c r="G5" s="37">
        <f t="shared" si="1"/>
        <v>0.92</v>
      </c>
      <c r="H5" s="1">
        <v>1</v>
      </c>
      <c r="I5" s="2">
        <v>0</v>
      </c>
      <c r="J5" s="5">
        <v>1</v>
      </c>
      <c r="K5" s="22">
        <v>1</v>
      </c>
      <c r="L5" s="26">
        <f t="shared" si="2"/>
        <v>1</v>
      </c>
      <c r="M5" s="81"/>
      <c r="N5" s="7">
        <v>0</v>
      </c>
      <c r="O5" s="95">
        <v>0</v>
      </c>
      <c r="P5" s="93">
        <f>P4+B5</f>
        <v>1937</v>
      </c>
      <c r="Q5" s="1">
        <f t="shared" si="3"/>
        <v>449</v>
      </c>
    </row>
    <row r="6" spans="1:18" ht="15.75" thickBot="1" x14ac:dyDescent="0.3">
      <c r="A6" s="8" t="s">
        <v>65</v>
      </c>
      <c r="B6" s="124">
        <v>403</v>
      </c>
      <c r="C6" s="125">
        <v>68</v>
      </c>
      <c r="D6" s="125">
        <f>C6*0.89</f>
        <v>60.52</v>
      </c>
      <c r="E6" s="27">
        <f t="shared" si="0"/>
        <v>6.6589557171183076</v>
      </c>
      <c r="F6" s="88"/>
      <c r="G6" s="61">
        <f t="shared" si="1"/>
        <v>0.89</v>
      </c>
      <c r="H6" s="9">
        <v>904</v>
      </c>
      <c r="I6" s="8">
        <v>41</v>
      </c>
      <c r="J6" s="28">
        <v>41</v>
      </c>
      <c r="K6" s="29">
        <f t="shared" ref="K6:K34" si="4">J6/I6</f>
        <v>1</v>
      </c>
      <c r="L6" s="84">
        <f t="shared" si="2"/>
        <v>22.048780487804876</v>
      </c>
      <c r="M6" s="83"/>
      <c r="N6" s="10">
        <f t="shared" ref="N6:N34" si="5">I6/O6</f>
        <v>1.1081081081081081</v>
      </c>
      <c r="O6" s="96">
        <v>37</v>
      </c>
      <c r="P6" s="93">
        <f>P5+B6</f>
        <v>2340</v>
      </c>
      <c r="Q6" s="1">
        <f t="shared" si="3"/>
        <v>1353</v>
      </c>
    </row>
    <row r="7" spans="1:18" x14ac:dyDescent="0.25">
      <c r="A7" s="2" t="s">
        <v>4</v>
      </c>
      <c r="B7" s="21">
        <v>1088</v>
      </c>
      <c r="C7" s="1">
        <v>68</v>
      </c>
      <c r="D7" s="24">
        <f>C7*0.98</f>
        <v>66.64</v>
      </c>
      <c r="E7" s="26">
        <f t="shared" si="0"/>
        <v>16.326530612244898</v>
      </c>
      <c r="F7" s="86" t="s">
        <v>13</v>
      </c>
      <c r="G7" s="37">
        <f t="shared" si="1"/>
        <v>0.98</v>
      </c>
      <c r="H7" s="1">
        <v>1073</v>
      </c>
      <c r="I7" s="2">
        <v>58</v>
      </c>
      <c r="J7" s="5">
        <v>58</v>
      </c>
      <c r="K7" s="22">
        <f t="shared" si="4"/>
        <v>1</v>
      </c>
      <c r="L7" s="26">
        <f t="shared" si="2"/>
        <v>18.5</v>
      </c>
      <c r="M7" s="81"/>
      <c r="N7" s="7">
        <f t="shared" si="5"/>
        <v>1.2608695652173914</v>
      </c>
      <c r="O7" s="95">
        <v>46</v>
      </c>
      <c r="P7" s="93">
        <f t="shared" ref="P7:P34" si="6">P6+B7</f>
        <v>3428</v>
      </c>
      <c r="Q7" s="1">
        <f t="shared" si="3"/>
        <v>2426</v>
      </c>
    </row>
    <row r="8" spans="1:18" x14ac:dyDescent="0.25">
      <c r="A8" s="2" t="s">
        <v>5</v>
      </c>
      <c r="B8" s="21">
        <v>1087</v>
      </c>
      <c r="C8" s="1">
        <v>100</v>
      </c>
      <c r="D8" s="24">
        <f>(68*0.92)+(32*0.98)</f>
        <v>93.92</v>
      </c>
      <c r="E8" s="26">
        <f t="shared" si="0"/>
        <v>11.573679727427598</v>
      </c>
      <c r="F8" s="86"/>
      <c r="G8" s="37">
        <f t="shared" si="1"/>
        <v>0.93920000000000003</v>
      </c>
      <c r="H8" s="11">
        <v>1360</v>
      </c>
      <c r="I8" s="2">
        <v>57</v>
      </c>
      <c r="J8" s="5">
        <v>57</v>
      </c>
      <c r="K8" s="22">
        <f t="shared" si="4"/>
        <v>1</v>
      </c>
      <c r="L8" s="26">
        <f t="shared" si="2"/>
        <v>23.859649122807017</v>
      </c>
      <c r="M8" s="81"/>
      <c r="N8" s="7">
        <f t="shared" si="5"/>
        <v>1.2127659574468086</v>
      </c>
      <c r="O8" s="95">
        <v>47</v>
      </c>
      <c r="P8" s="93">
        <f t="shared" si="6"/>
        <v>4515</v>
      </c>
      <c r="Q8" s="1">
        <f t="shared" si="3"/>
        <v>3786</v>
      </c>
    </row>
    <row r="9" spans="1:18" x14ac:dyDescent="0.25">
      <c r="A9" s="2" t="s">
        <v>6</v>
      </c>
      <c r="B9" s="21">
        <v>1088</v>
      </c>
      <c r="C9" s="1">
        <v>168</v>
      </c>
      <c r="D9" s="24">
        <f>(68*0.85)+(100*0.92)</f>
        <v>149.80000000000001</v>
      </c>
      <c r="E9" s="26">
        <f t="shared" si="0"/>
        <v>7.2630173564752996</v>
      </c>
      <c r="F9" s="86"/>
      <c r="G9" s="37">
        <f t="shared" si="1"/>
        <v>0.89166666666666672</v>
      </c>
      <c r="H9" s="11">
        <v>1250</v>
      </c>
      <c r="I9" s="2">
        <v>59</v>
      </c>
      <c r="J9" s="5">
        <v>52</v>
      </c>
      <c r="K9" s="22">
        <f t="shared" si="4"/>
        <v>0.88135593220338981</v>
      </c>
      <c r="L9" s="26">
        <f t="shared" si="2"/>
        <v>24.03846153846154</v>
      </c>
      <c r="M9" s="81"/>
      <c r="N9" s="7">
        <f t="shared" si="5"/>
        <v>1.3409090909090908</v>
      </c>
      <c r="O9" s="95">
        <v>44</v>
      </c>
      <c r="P9" s="93">
        <f t="shared" si="6"/>
        <v>5603</v>
      </c>
      <c r="Q9" s="1">
        <f t="shared" si="3"/>
        <v>5036</v>
      </c>
    </row>
    <row r="10" spans="1:18" x14ac:dyDescent="0.25">
      <c r="A10" s="4" t="s">
        <v>7</v>
      </c>
      <c r="B10" s="21">
        <v>1087</v>
      </c>
      <c r="C10" s="1">
        <v>168</v>
      </c>
      <c r="D10" s="24">
        <f>(68*0.79)+(100*0.85)</f>
        <v>138.72</v>
      </c>
      <c r="E10" s="26">
        <f t="shared" si="0"/>
        <v>7.8359284890426757</v>
      </c>
      <c r="F10" s="86"/>
      <c r="G10" s="37">
        <f t="shared" si="1"/>
        <v>0.82571428571428573</v>
      </c>
      <c r="H10" s="11">
        <v>734</v>
      </c>
      <c r="I10" s="2">
        <v>88</v>
      </c>
      <c r="J10" s="5">
        <v>82</v>
      </c>
      <c r="K10" s="22">
        <f t="shared" si="4"/>
        <v>0.93181818181818177</v>
      </c>
      <c r="L10" s="26">
        <f t="shared" si="2"/>
        <v>8.9512195121951219</v>
      </c>
      <c r="M10" s="81"/>
      <c r="N10" s="7">
        <f t="shared" si="5"/>
        <v>2.1463414634146343</v>
      </c>
      <c r="O10" s="97">
        <v>41</v>
      </c>
      <c r="P10" s="93">
        <f t="shared" si="6"/>
        <v>6690</v>
      </c>
      <c r="Q10" s="1">
        <f t="shared" si="3"/>
        <v>5770</v>
      </c>
    </row>
    <row r="11" spans="1:18" ht="15.75" customHeight="1" x14ac:dyDescent="0.25">
      <c r="A11" s="4" t="s">
        <v>8</v>
      </c>
      <c r="B11" s="21">
        <v>1410</v>
      </c>
      <c r="C11" s="1">
        <v>168</v>
      </c>
      <c r="D11" s="24">
        <f>(68*0.7)+(100*0.79)</f>
        <v>126.6</v>
      </c>
      <c r="E11" s="26">
        <f t="shared" si="0"/>
        <v>11.13744075829384</v>
      </c>
      <c r="F11" s="87">
        <f>AVERAGE(E7:E16)</f>
        <v>18.270147672717943</v>
      </c>
      <c r="G11" s="37">
        <f t="shared" si="1"/>
        <v>0.75357142857142856</v>
      </c>
      <c r="H11" s="11">
        <v>940</v>
      </c>
      <c r="I11" s="2">
        <v>82</v>
      </c>
      <c r="J11" s="5">
        <v>69</v>
      </c>
      <c r="K11" s="22">
        <f t="shared" si="4"/>
        <v>0.84146341463414631</v>
      </c>
      <c r="L11" s="26">
        <f t="shared" si="2"/>
        <v>13.623188405797102</v>
      </c>
      <c r="M11" s="81"/>
      <c r="N11" s="7">
        <f t="shared" si="5"/>
        <v>2.1025641025641026</v>
      </c>
      <c r="O11" s="97">
        <v>39</v>
      </c>
      <c r="P11" s="93">
        <f t="shared" si="6"/>
        <v>8100</v>
      </c>
      <c r="Q11" s="1">
        <f t="shared" si="3"/>
        <v>6710</v>
      </c>
    </row>
    <row r="12" spans="1:18" x14ac:dyDescent="0.25">
      <c r="A12" s="4" t="s">
        <v>9</v>
      </c>
      <c r="B12" s="21">
        <v>2935</v>
      </c>
      <c r="C12" s="1">
        <v>168</v>
      </c>
      <c r="D12" s="24">
        <f>(68*0.6)+(100*0.7)</f>
        <v>110.8</v>
      </c>
      <c r="E12" s="26">
        <f t="shared" si="0"/>
        <v>26.489169675090253</v>
      </c>
      <c r="F12" s="86"/>
      <c r="G12" s="37">
        <f t="shared" si="1"/>
        <v>0.65952380952380951</v>
      </c>
      <c r="H12" s="11">
        <v>1119</v>
      </c>
      <c r="I12" s="2">
        <v>90</v>
      </c>
      <c r="J12" s="5">
        <v>75</v>
      </c>
      <c r="K12" s="22">
        <f t="shared" si="4"/>
        <v>0.83333333333333337</v>
      </c>
      <c r="L12" s="26">
        <f t="shared" si="2"/>
        <v>14.92</v>
      </c>
      <c r="M12" s="82">
        <f>AVERAGE(L7:L16)</f>
        <v>17.414169754236166</v>
      </c>
      <c r="N12" s="7">
        <f t="shared" si="5"/>
        <v>2.0454545454545454</v>
      </c>
      <c r="O12" s="97">
        <v>44</v>
      </c>
      <c r="P12" s="93">
        <f t="shared" si="6"/>
        <v>11035</v>
      </c>
      <c r="Q12" s="1">
        <f t="shared" si="3"/>
        <v>7829</v>
      </c>
    </row>
    <row r="13" spans="1:18" x14ac:dyDescent="0.25">
      <c r="A13" s="4" t="s">
        <v>10</v>
      </c>
      <c r="B13" s="21">
        <v>2934</v>
      </c>
      <c r="C13" s="1">
        <v>168</v>
      </c>
      <c r="D13" s="24">
        <f>(68*0.6)+(100*0.6)</f>
        <v>100.8</v>
      </c>
      <c r="E13" s="26">
        <f t="shared" si="0"/>
        <v>29.107142857142858</v>
      </c>
      <c r="F13" s="86"/>
      <c r="G13" s="37">
        <f t="shared" si="1"/>
        <v>0.6</v>
      </c>
      <c r="H13" s="11">
        <v>1622</v>
      </c>
      <c r="I13" s="2">
        <v>85</v>
      </c>
      <c r="J13" s="5">
        <v>62</v>
      </c>
      <c r="K13" s="22">
        <f t="shared" si="4"/>
        <v>0.72941176470588232</v>
      </c>
      <c r="L13" s="26">
        <f t="shared" si="2"/>
        <v>26.161290322580644</v>
      </c>
      <c r="M13" s="81"/>
      <c r="N13" s="7">
        <f t="shared" si="5"/>
        <v>2.0238095238095237</v>
      </c>
      <c r="O13" s="97">
        <v>42</v>
      </c>
      <c r="P13" s="93">
        <f t="shared" si="6"/>
        <v>13969</v>
      </c>
      <c r="Q13" s="1">
        <f t="shared" si="3"/>
        <v>9451</v>
      </c>
    </row>
    <row r="14" spans="1:18" x14ac:dyDescent="0.25">
      <c r="A14" s="4" t="s">
        <v>0</v>
      </c>
      <c r="B14" s="21">
        <v>2935</v>
      </c>
      <c r="C14" s="1">
        <v>168</v>
      </c>
      <c r="D14" s="24">
        <f>(68*0.6)+(100*0.6)</f>
        <v>100.8</v>
      </c>
      <c r="E14" s="26">
        <f t="shared" si="0"/>
        <v>29.117063492063494</v>
      </c>
      <c r="F14" s="89"/>
      <c r="G14" s="37">
        <f t="shared" si="1"/>
        <v>0.6</v>
      </c>
      <c r="H14" s="11">
        <v>1003</v>
      </c>
      <c r="I14" s="2">
        <v>116</v>
      </c>
      <c r="J14" s="5">
        <v>74</v>
      </c>
      <c r="K14" s="22">
        <f t="shared" si="4"/>
        <v>0.63793103448275867</v>
      </c>
      <c r="L14" s="26">
        <f t="shared" si="2"/>
        <v>13.554054054054054</v>
      </c>
      <c r="M14" s="81"/>
      <c r="N14" s="7">
        <f t="shared" si="5"/>
        <v>2.0714285714285716</v>
      </c>
      <c r="O14" s="97">
        <v>56</v>
      </c>
      <c r="P14" s="93">
        <f t="shared" si="6"/>
        <v>16904</v>
      </c>
      <c r="Q14" s="1">
        <f t="shared" si="3"/>
        <v>10454</v>
      </c>
    </row>
    <row r="15" spans="1:18" ht="17.25" customHeight="1" x14ac:dyDescent="0.25">
      <c r="A15" s="4" t="s">
        <v>1</v>
      </c>
      <c r="B15" s="21">
        <v>2934</v>
      </c>
      <c r="C15" s="1">
        <v>168</v>
      </c>
      <c r="D15" s="24">
        <f>(68*0.6)+(100*0.6)</f>
        <v>100.8</v>
      </c>
      <c r="E15" s="26">
        <f t="shared" si="0"/>
        <v>29.107142857142858</v>
      </c>
      <c r="F15" s="90"/>
      <c r="G15" s="37">
        <f t="shared" si="1"/>
        <v>0.6</v>
      </c>
      <c r="H15" s="11">
        <v>2066</v>
      </c>
      <c r="I15" s="2">
        <v>201</v>
      </c>
      <c r="J15" s="5">
        <v>133</v>
      </c>
      <c r="K15" s="22">
        <f t="shared" si="4"/>
        <v>0.6616915422885572</v>
      </c>
      <c r="L15" s="26">
        <f t="shared" si="2"/>
        <v>15.533834586466165</v>
      </c>
      <c r="M15" s="81"/>
      <c r="N15" s="7">
        <f t="shared" si="5"/>
        <v>1.5826771653543308</v>
      </c>
      <c r="O15" s="97">
        <v>127</v>
      </c>
      <c r="P15" s="93">
        <f t="shared" si="6"/>
        <v>19838</v>
      </c>
      <c r="Q15" s="1">
        <f t="shared" si="3"/>
        <v>12520</v>
      </c>
    </row>
    <row r="16" spans="1:18" ht="15.75" thickBot="1" x14ac:dyDescent="0.3">
      <c r="A16" s="8" t="s">
        <v>19</v>
      </c>
      <c r="B16" s="65">
        <v>1961</v>
      </c>
      <c r="C16" s="8">
        <v>202</v>
      </c>
      <c r="D16" s="16">
        <v>133</v>
      </c>
      <c r="E16" s="27">
        <f t="shared" si="0"/>
        <v>14.744360902255639</v>
      </c>
      <c r="F16" s="88"/>
      <c r="G16" s="61">
        <f t="shared" si="1"/>
        <v>0.65841584158415845</v>
      </c>
      <c r="H16" s="19">
        <v>2340</v>
      </c>
      <c r="I16" s="8">
        <v>217</v>
      </c>
      <c r="J16" s="28">
        <v>156</v>
      </c>
      <c r="K16" s="29">
        <f t="shared" si="4"/>
        <v>0.71889400921658986</v>
      </c>
      <c r="L16" s="84">
        <f t="shared" si="2"/>
        <v>15</v>
      </c>
      <c r="M16" s="83"/>
      <c r="N16" s="10">
        <f t="shared" si="5"/>
        <v>1.631578947368421</v>
      </c>
      <c r="O16" s="96">
        <v>133</v>
      </c>
      <c r="P16" s="93">
        <f t="shared" si="6"/>
        <v>21799</v>
      </c>
      <c r="Q16" s="1">
        <f t="shared" si="3"/>
        <v>14860</v>
      </c>
    </row>
    <row r="17" spans="1:17" x14ac:dyDescent="0.25">
      <c r="A17" s="4" t="s">
        <v>2</v>
      </c>
      <c r="B17" s="66">
        <v>1962</v>
      </c>
      <c r="C17" s="1">
        <v>218</v>
      </c>
      <c r="D17" s="26">
        <v>117</v>
      </c>
      <c r="E17" s="26">
        <f t="shared" si="0"/>
        <v>16.76923076923077</v>
      </c>
      <c r="F17" s="86" t="s">
        <v>14</v>
      </c>
      <c r="G17" s="37">
        <f t="shared" si="1"/>
        <v>0.53669724770642202</v>
      </c>
      <c r="H17" s="20">
        <v>2500</v>
      </c>
      <c r="I17" s="2">
        <v>210</v>
      </c>
      <c r="J17" s="5">
        <v>170</v>
      </c>
      <c r="K17" s="22">
        <f t="shared" si="4"/>
        <v>0.80952380952380953</v>
      </c>
      <c r="L17" s="26">
        <f t="shared" si="2"/>
        <v>14.705882352941176</v>
      </c>
      <c r="M17" s="81"/>
      <c r="N17" s="7">
        <f t="shared" si="5"/>
        <v>1.5789473684210527</v>
      </c>
      <c r="O17" s="5">
        <v>133</v>
      </c>
      <c r="P17" s="74">
        <f t="shared" si="6"/>
        <v>23761</v>
      </c>
      <c r="Q17" s="1">
        <f t="shared" si="3"/>
        <v>17360</v>
      </c>
    </row>
    <row r="18" spans="1:17" x14ac:dyDescent="0.25">
      <c r="A18" s="4" t="s">
        <v>3</v>
      </c>
      <c r="B18" s="66">
        <v>1961</v>
      </c>
      <c r="C18" s="1">
        <v>168</v>
      </c>
      <c r="D18" s="24">
        <v>161</v>
      </c>
      <c r="E18" s="26">
        <f t="shared" si="0"/>
        <v>12.180124223602485</v>
      </c>
      <c r="F18" s="90"/>
      <c r="G18" s="37">
        <f t="shared" si="1"/>
        <v>0.95833333333333337</v>
      </c>
      <c r="H18" s="20">
        <v>3359</v>
      </c>
      <c r="I18" s="2">
        <v>201</v>
      </c>
      <c r="J18" s="5">
        <v>162</v>
      </c>
      <c r="K18" s="22">
        <f t="shared" si="4"/>
        <v>0.80597014925373134</v>
      </c>
      <c r="L18" s="26">
        <f t="shared" si="2"/>
        <v>20.734567901234566</v>
      </c>
      <c r="M18" s="81"/>
      <c r="N18" s="7">
        <f t="shared" si="5"/>
        <v>1.5112781954887218</v>
      </c>
      <c r="O18" s="5">
        <v>133</v>
      </c>
      <c r="P18" s="74">
        <f t="shared" si="6"/>
        <v>25722</v>
      </c>
      <c r="Q18" s="1">
        <f t="shared" si="3"/>
        <v>20719</v>
      </c>
    </row>
    <row r="19" spans="1:17" x14ac:dyDescent="0.25">
      <c r="A19" s="4" t="s">
        <v>4</v>
      </c>
      <c r="B19" s="66">
        <v>1962</v>
      </c>
      <c r="C19" s="1">
        <v>176</v>
      </c>
      <c r="D19" s="26">
        <v>157</v>
      </c>
      <c r="E19" s="26">
        <f t="shared" si="0"/>
        <v>12.496815286624203</v>
      </c>
      <c r="F19" s="87">
        <f>AVERAGE(E17:E22)</f>
        <v>12.881396109869344</v>
      </c>
      <c r="G19" s="37">
        <f t="shared" si="1"/>
        <v>0.89204545454545459</v>
      </c>
      <c r="H19" s="20">
        <v>3783</v>
      </c>
      <c r="I19" s="2">
        <v>178</v>
      </c>
      <c r="J19" s="5">
        <v>140</v>
      </c>
      <c r="K19" s="22">
        <f t="shared" si="4"/>
        <v>0.7865168539325843</v>
      </c>
      <c r="L19" s="26">
        <f t="shared" si="2"/>
        <v>27.021428571428572</v>
      </c>
      <c r="M19" s="81"/>
      <c r="N19" s="7">
        <f t="shared" si="5"/>
        <v>1.3798449612403101</v>
      </c>
      <c r="O19" s="5">
        <v>129</v>
      </c>
      <c r="P19" s="74">
        <f t="shared" si="6"/>
        <v>27684</v>
      </c>
      <c r="Q19" s="1">
        <f t="shared" si="3"/>
        <v>24502</v>
      </c>
    </row>
    <row r="20" spans="1:17" x14ac:dyDescent="0.25">
      <c r="A20" s="4" t="s">
        <v>5</v>
      </c>
      <c r="B20" s="66">
        <v>1962</v>
      </c>
      <c r="C20" s="1">
        <v>200</v>
      </c>
      <c r="D20" s="24">
        <v>170</v>
      </c>
      <c r="E20" s="26">
        <f t="shared" si="0"/>
        <v>11.541176470588235</v>
      </c>
      <c r="F20" s="86"/>
      <c r="G20" s="37">
        <f t="shared" si="1"/>
        <v>0.85</v>
      </c>
      <c r="H20" s="20">
        <v>5190</v>
      </c>
      <c r="I20" s="2">
        <v>202</v>
      </c>
      <c r="J20" s="5">
        <v>148</v>
      </c>
      <c r="K20" s="22">
        <f t="shared" si="4"/>
        <v>0.73267326732673266</v>
      </c>
      <c r="L20" s="26">
        <f t="shared" si="2"/>
        <v>35.067567567567565</v>
      </c>
      <c r="M20" s="82">
        <f>AVERAGE(L17:L22)</f>
        <v>21.279076527284257</v>
      </c>
      <c r="N20" s="7">
        <f t="shared" si="5"/>
        <v>1.5419847328244274</v>
      </c>
      <c r="O20" s="5">
        <v>131</v>
      </c>
      <c r="P20" s="74">
        <f t="shared" si="6"/>
        <v>29646</v>
      </c>
      <c r="Q20" s="1">
        <f t="shared" si="3"/>
        <v>29692</v>
      </c>
    </row>
    <row r="21" spans="1:17" x14ac:dyDescent="0.25">
      <c r="A21" s="4" t="s">
        <v>6</v>
      </c>
      <c r="B21" s="66">
        <v>1962</v>
      </c>
      <c r="C21" s="1">
        <v>223</v>
      </c>
      <c r="D21" s="24">
        <v>179</v>
      </c>
      <c r="E21" s="26">
        <f t="shared" si="0"/>
        <v>10.960893854748603</v>
      </c>
      <c r="F21" s="86"/>
      <c r="G21" s="37">
        <f t="shared" si="1"/>
        <v>0.80269058295964124</v>
      </c>
      <c r="H21" s="20">
        <v>2778</v>
      </c>
      <c r="I21" s="2">
        <v>223</v>
      </c>
      <c r="J21" s="5">
        <v>173</v>
      </c>
      <c r="K21" s="22">
        <f t="shared" si="4"/>
        <v>0.77578475336322872</v>
      </c>
      <c r="L21" s="26">
        <f t="shared" si="2"/>
        <v>16.057803468208093</v>
      </c>
      <c r="M21" s="81"/>
      <c r="N21" s="7">
        <f t="shared" si="5"/>
        <v>1.6518518518518519</v>
      </c>
      <c r="O21" s="5">
        <v>135</v>
      </c>
      <c r="P21" s="74">
        <f t="shared" si="6"/>
        <v>31608</v>
      </c>
      <c r="Q21" s="1">
        <f t="shared" si="3"/>
        <v>32470</v>
      </c>
    </row>
    <row r="22" spans="1:17" ht="15.75" thickBot="1" x14ac:dyDescent="0.3">
      <c r="A22" s="8" t="s">
        <v>7</v>
      </c>
      <c r="B22" s="16">
        <v>1961</v>
      </c>
      <c r="C22" s="8">
        <v>258</v>
      </c>
      <c r="D22" s="27">
        <v>147</v>
      </c>
      <c r="E22" s="27">
        <f t="shared" si="0"/>
        <v>13.34013605442177</v>
      </c>
      <c r="F22" s="88"/>
      <c r="G22" s="61">
        <f t="shared" si="1"/>
        <v>0.56976744186046513</v>
      </c>
      <c r="H22" s="16">
        <v>2423</v>
      </c>
      <c r="I22" s="8">
        <v>216</v>
      </c>
      <c r="J22" s="28">
        <v>172</v>
      </c>
      <c r="K22" s="29">
        <f t="shared" si="4"/>
        <v>0.79629629629629628</v>
      </c>
      <c r="L22" s="84">
        <f t="shared" si="2"/>
        <v>14.087209302325581</v>
      </c>
      <c r="M22" s="83"/>
      <c r="N22" s="10">
        <f t="shared" si="5"/>
        <v>1.5652173913043479</v>
      </c>
      <c r="O22" s="9">
        <v>138</v>
      </c>
      <c r="P22" s="74">
        <f t="shared" si="6"/>
        <v>33569</v>
      </c>
      <c r="Q22" s="1">
        <f t="shared" si="3"/>
        <v>34893</v>
      </c>
    </row>
    <row r="23" spans="1:17" x14ac:dyDescent="0.25">
      <c r="A23" s="2" t="s">
        <v>8</v>
      </c>
      <c r="B23" s="66">
        <v>1962</v>
      </c>
      <c r="C23" s="1">
        <v>278</v>
      </c>
      <c r="D23" s="24">
        <v>235</v>
      </c>
      <c r="E23" s="26">
        <f t="shared" si="0"/>
        <v>8.3489361702127667</v>
      </c>
      <c r="F23" s="86" t="s">
        <v>15</v>
      </c>
      <c r="G23" s="37">
        <f t="shared" si="1"/>
        <v>0.84532374100719421</v>
      </c>
      <c r="H23" s="20">
        <v>3010</v>
      </c>
      <c r="I23" s="2">
        <v>224</v>
      </c>
      <c r="J23" s="5">
        <v>185</v>
      </c>
      <c r="K23" s="22">
        <f t="shared" si="4"/>
        <v>0.8258928571428571</v>
      </c>
      <c r="L23" s="26">
        <f t="shared" si="2"/>
        <v>16.27027027027027</v>
      </c>
      <c r="M23" s="81"/>
      <c r="N23" s="7">
        <f t="shared" si="5"/>
        <v>1.4933333333333334</v>
      </c>
      <c r="O23" s="1">
        <v>150</v>
      </c>
      <c r="P23" s="74">
        <f t="shared" si="6"/>
        <v>35531</v>
      </c>
      <c r="Q23" s="1">
        <f t="shared" si="3"/>
        <v>37903</v>
      </c>
    </row>
    <row r="24" spans="1:17" x14ac:dyDescent="0.25">
      <c r="A24" s="2" t="s">
        <v>9</v>
      </c>
      <c r="B24" s="66">
        <v>1961</v>
      </c>
      <c r="C24" s="2">
        <v>322</v>
      </c>
      <c r="D24" s="24">
        <v>285</v>
      </c>
      <c r="E24" s="26">
        <f t="shared" si="0"/>
        <v>6.8807017543859645</v>
      </c>
      <c r="F24" s="86"/>
      <c r="G24" s="37">
        <f t="shared" si="1"/>
        <v>0.8850931677018633</v>
      </c>
      <c r="H24" s="20">
        <v>3586</v>
      </c>
      <c r="I24" s="2">
        <v>230</v>
      </c>
      <c r="J24" s="5">
        <v>191</v>
      </c>
      <c r="K24" s="22">
        <f t="shared" si="4"/>
        <v>0.83043478260869563</v>
      </c>
      <c r="L24" s="26">
        <f t="shared" si="2"/>
        <v>18.774869109947645</v>
      </c>
      <c r="M24" s="81"/>
      <c r="N24" s="7">
        <f t="shared" si="5"/>
        <v>1.5231788079470199</v>
      </c>
      <c r="O24" s="1">
        <v>151</v>
      </c>
      <c r="P24" s="74">
        <f t="shared" si="6"/>
        <v>37492</v>
      </c>
      <c r="Q24" s="1">
        <f t="shared" si="3"/>
        <v>41489</v>
      </c>
    </row>
    <row r="25" spans="1:17" x14ac:dyDescent="0.25">
      <c r="A25" s="2" t="s">
        <v>10</v>
      </c>
      <c r="B25" s="66">
        <v>1962</v>
      </c>
      <c r="C25" s="2">
        <v>322</v>
      </c>
      <c r="D25" s="24">
        <v>262</v>
      </c>
      <c r="E25" s="26">
        <f t="shared" si="0"/>
        <v>7.4885496183206106</v>
      </c>
      <c r="F25" s="86"/>
      <c r="G25" s="37">
        <f t="shared" si="1"/>
        <v>0.81366459627329191</v>
      </c>
      <c r="H25" s="20">
        <v>4320</v>
      </c>
      <c r="I25" s="2">
        <v>237</v>
      </c>
      <c r="J25" s="5">
        <v>194</v>
      </c>
      <c r="K25" s="22">
        <f t="shared" si="4"/>
        <v>0.81856540084388185</v>
      </c>
      <c r="L25" s="26">
        <f t="shared" si="2"/>
        <v>22.268041237113401</v>
      </c>
      <c r="M25" s="81"/>
      <c r="N25" s="7">
        <f t="shared" si="5"/>
        <v>1.4539877300613497</v>
      </c>
      <c r="O25" s="1">
        <v>163</v>
      </c>
      <c r="P25" s="74">
        <f t="shared" si="6"/>
        <v>39454</v>
      </c>
      <c r="Q25" s="1">
        <f t="shared" si="3"/>
        <v>45809</v>
      </c>
    </row>
    <row r="26" spans="1:17" x14ac:dyDescent="0.25">
      <c r="A26" s="2" t="s">
        <v>0</v>
      </c>
      <c r="B26" s="66">
        <v>1961</v>
      </c>
      <c r="C26" s="2">
        <v>322</v>
      </c>
      <c r="D26" s="24">
        <v>247</v>
      </c>
      <c r="E26" s="26">
        <f t="shared" si="0"/>
        <v>7.9392712550607287</v>
      </c>
      <c r="F26" s="86"/>
      <c r="G26" s="37">
        <f t="shared" si="1"/>
        <v>0.76708074534161486</v>
      </c>
      <c r="H26" s="20">
        <v>2635</v>
      </c>
      <c r="I26" s="2">
        <v>248</v>
      </c>
      <c r="J26" s="5">
        <v>196</v>
      </c>
      <c r="K26" s="22">
        <f t="shared" si="4"/>
        <v>0.79032258064516125</v>
      </c>
      <c r="L26" s="26">
        <f t="shared" si="2"/>
        <v>13.443877551020408</v>
      </c>
      <c r="M26" s="81"/>
      <c r="N26" s="7">
        <f t="shared" si="5"/>
        <v>1.5030303030303029</v>
      </c>
      <c r="O26" s="1">
        <v>165</v>
      </c>
      <c r="P26" s="74">
        <f t="shared" si="6"/>
        <v>41415</v>
      </c>
      <c r="Q26" s="1">
        <f t="shared" si="3"/>
        <v>48444</v>
      </c>
    </row>
    <row r="27" spans="1:17" x14ac:dyDescent="0.25">
      <c r="A27" s="2" t="s">
        <v>1</v>
      </c>
      <c r="B27" s="66">
        <v>1962</v>
      </c>
      <c r="C27" s="2">
        <v>312</v>
      </c>
      <c r="D27" s="24">
        <v>222</v>
      </c>
      <c r="E27" s="26">
        <f t="shared" si="0"/>
        <v>8.8378378378378386</v>
      </c>
      <c r="F27" s="86"/>
      <c r="G27" s="37">
        <f t="shared" si="1"/>
        <v>0.71153846153846156</v>
      </c>
      <c r="H27" s="11">
        <v>3418</v>
      </c>
      <c r="I27" s="2">
        <v>256</v>
      </c>
      <c r="J27" s="5">
        <v>196</v>
      </c>
      <c r="K27" s="22">
        <f t="shared" si="4"/>
        <v>0.765625</v>
      </c>
      <c r="L27" s="26">
        <f t="shared" si="2"/>
        <v>17.438775510204081</v>
      </c>
      <c r="M27" s="81"/>
      <c r="N27" s="7">
        <f t="shared" si="5"/>
        <v>1.5900621118012421</v>
      </c>
      <c r="O27" s="1">
        <v>161</v>
      </c>
      <c r="P27" s="74">
        <f t="shared" si="6"/>
        <v>43377</v>
      </c>
      <c r="Q27" s="1">
        <f t="shared" si="3"/>
        <v>51862</v>
      </c>
    </row>
    <row r="28" spans="1:17" x14ac:dyDescent="0.25">
      <c r="A28" s="2" t="s">
        <v>20</v>
      </c>
      <c r="B28" s="11">
        <v>2593</v>
      </c>
      <c r="C28" s="2">
        <v>312</v>
      </c>
      <c r="D28" s="24">
        <v>202</v>
      </c>
      <c r="E28" s="26">
        <f t="shared" si="0"/>
        <v>12.836633663366337</v>
      </c>
      <c r="F28" s="87">
        <f>AVERAGE(E23:E34)</f>
        <v>11.064670548988735</v>
      </c>
      <c r="G28" s="37">
        <f t="shared" si="1"/>
        <v>0.64743589743589747</v>
      </c>
      <c r="H28" s="11">
        <v>3429</v>
      </c>
      <c r="I28" s="2">
        <v>307</v>
      </c>
      <c r="J28" s="5">
        <v>218</v>
      </c>
      <c r="K28" s="22">
        <f t="shared" si="4"/>
        <v>0.71009771986970682</v>
      </c>
      <c r="L28" s="26">
        <f t="shared" si="2"/>
        <v>15.729357798165138</v>
      </c>
      <c r="M28" s="82">
        <f>AVERAGE(L23:L34)</f>
        <v>16.193374676656383</v>
      </c>
      <c r="N28" s="7">
        <f t="shared" si="5"/>
        <v>1.8834355828220859</v>
      </c>
      <c r="O28" s="1">
        <v>163</v>
      </c>
      <c r="P28" s="74">
        <f t="shared" si="6"/>
        <v>45970</v>
      </c>
      <c r="Q28" s="1">
        <f t="shared" si="3"/>
        <v>55291</v>
      </c>
    </row>
    <row r="29" spans="1:17" ht="18" customHeight="1" x14ac:dyDescent="0.25">
      <c r="A29" s="2" t="s">
        <v>2</v>
      </c>
      <c r="B29" s="11">
        <v>2593</v>
      </c>
      <c r="C29" s="2">
        <v>312</v>
      </c>
      <c r="D29" s="24">
        <v>199</v>
      </c>
      <c r="E29" s="26">
        <f t="shared" si="0"/>
        <v>13.030150753768844</v>
      </c>
      <c r="F29" s="86"/>
      <c r="G29" s="37">
        <f t="shared" si="1"/>
        <v>0.63782051282051277</v>
      </c>
      <c r="H29" s="11">
        <v>2652</v>
      </c>
      <c r="I29" s="2">
        <v>423</v>
      </c>
      <c r="J29" s="5">
        <v>247</v>
      </c>
      <c r="K29" s="22">
        <f t="shared" si="4"/>
        <v>0.58392434988179664</v>
      </c>
      <c r="L29" s="26">
        <f t="shared" si="2"/>
        <v>10.736842105263158</v>
      </c>
      <c r="M29" s="81"/>
      <c r="N29" s="7">
        <f t="shared" si="5"/>
        <v>2.3631284916201118</v>
      </c>
      <c r="O29" s="1">
        <v>179</v>
      </c>
      <c r="P29" s="74">
        <f t="shared" si="6"/>
        <v>48563</v>
      </c>
      <c r="Q29" s="1">
        <f t="shared" si="3"/>
        <v>57943</v>
      </c>
    </row>
    <row r="30" spans="1:17" x14ac:dyDescent="0.25">
      <c r="A30" s="2" t="s">
        <v>3</v>
      </c>
      <c r="B30" s="11">
        <v>2593</v>
      </c>
      <c r="C30" s="2">
        <v>312</v>
      </c>
      <c r="D30" s="24">
        <v>197</v>
      </c>
      <c r="E30" s="26">
        <f t="shared" si="0"/>
        <v>13.162436548223351</v>
      </c>
      <c r="F30" s="86"/>
      <c r="G30" s="37">
        <f t="shared" si="1"/>
        <v>0.63141025641025639</v>
      </c>
      <c r="H30" s="11">
        <v>3632</v>
      </c>
      <c r="I30" s="2">
        <v>441</v>
      </c>
      <c r="J30" s="5">
        <v>226</v>
      </c>
      <c r="K30" s="22">
        <f t="shared" si="4"/>
        <v>0.51247165532879824</v>
      </c>
      <c r="L30" s="26">
        <f t="shared" si="2"/>
        <v>16.070796460176989</v>
      </c>
      <c r="M30" s="81"/>
      <c r="N30" s="7">
        <f t="shared" si="5"/>
        <v>1.96875</v>
      </c>
      <c r="O30" s="1">
        <v>224</v>
      </c>
      <c r="P30" s="74">
        <f t="shared" si="6"/>
        <v>51156</v>
      </c>
      <c r="Q30" s="1">
        <f t="shared" si="3"/>
        <v>61575</v>
      </c>
    </row>
    <row r="31" spans="1:17" x14ac:dyDescent="0.25">
      <c r="A31" s="2" t="s">
        <v>4</v>
      </c>
      <c r="B31" s="11">
        <v>2593</v>
      </c>
      <c r="C31" s="1">
        <v>312</v>
      </c>
      <c r="D31" s="24">
        <v>195</v>
      </c>
      <c r="E31" s="26">
        <f t="shared" si="0"/>
        <v>13.297435897435898</v>
      </c>
      <c r="F31" s="86"/>
      <c r="G31" s="37">
        <f t="shared" si="1"/>
        <v>0.625</v>
      </c>
      <c r="H31" s="11">
        <v>5346</v>
      </c>
      <c r="I31" s="2">
        <v>528</v>
      </c>
      <c r="J31" s="5">
        <v>347</v>
      </c>
      <c r="K31" s="22">
        <f t="shared" si="4"/>
        <v>0.65719696969696972</v>
      </c>
      <c r="L31" s="26">
        <f t="shared" si="2"/>
        <v>15.406340057636887</v>
      </c>
      <c r="M31" s="81"/>
      <c r="N31" s="7">
        <f t="shared" si="5"/>
        <v>1.9924528301886792</v>
      </c>
      <c r="O31" s="1">
        <v>265</v>
      </c>
      <c r="P31" s="74">
        <f t="shared" si="6"/>
        <v>53749</v>
      </c>
      <c r="Q31" s="1">
        <f t="shared" si="3"/>
        <v>66921</v>
      </c>
    </row>
    <row r="32" spans="1:17" x14ac:dyDescent="0.25">
      <c r="A32" s="2" t="s">
        <v>5</v>
      </c>
      <c r="B32" s="11">
        <v>2594</v>
      </c>
      <c r="C32" s="1">
        <v>312</v>
      </c>
      <c r="D32" s="24">
        <v>193</v>
      </c>
      <c r="E32" s="26">
        <f t="shared" si="0"/>
        <v>13.440414507772021</v>
      </c>
      <c r="F32" s="86"/>
      <c r="G32" s="37">
        <f t="shared" si="1"/>
        <v>0.61858974358974361</v>
      </c>
      <c r="H32" s="11">
        <v>6721</v>
      </c>
      <c r="I32" s="2">
        <v>576</v>
      </c>
      <c r="J32" s="5">
        <v>459</v>
      </c>
      <c r="K32" s="22">
        <f t="shared" si="4"/>
        <v>0.796875</v>
      </c>
      <c r="L32" s="26">
        <f t="shared" si="2"/>
        <v>14.642701525054466</v>
      </c>
      <c r="M32" s="81"/>
      <c r="N32" s="7">
        <f t="shared" si="5"/>
        <v>2.0794223826714799</v>
      </c>
      <c r="O32" s="1">
        <v>277</v>
      </c>
      <c r="P32" s="74">
        <f t="shared" si="6"/>
        <v>56343</v>
      </c>
      <c r="Q32" s="1">
        <f t="shared" si="3"/>
        <v>73642</v>
      </c>
    </row>
    <row r="33" spans="1:17" x14ac:dyDescent="0.25">
      <c r="A33" s="2" t="s">
        <v>6</v>
      </c>
      <c r="B33" s="11">
        <v>2593</v>
      </c>
      <c r="C33" s="1">
        <v>312</v>
      </c>
      <c r="D33" s="24">
        <v>190</v>
      </c>
      <c r="E33" s="26">
        <f t="shared" si="0"/>
        <v>13.647368421052631</v>
      </c>
      <c r="F33" s="86"/>
      <c r="G33" s="37">
        <f t="shared" si="1"/>
        <v>0.60897435897435892</v>
      </c>
      <c r="H33" s="11">
        <v>7696</v>
      </c>
      <c r="I33" s="2">
        <v>535</v>
      </c>
      <c r="J33" s="5">
        <v>408</v>
      </c>
      <c r="K33" s="22">
        <f t="shared" si="4"/>
        <v>0.76261682242990658</v>
      </c>
      <c r="L33" s="26">
        <f t="shared" si="2"/>
        <v>18.862745098039216</v>
      </c>
      <c r="M33" s="81"/>
      <c r="N33" s="7">
        <f t="shared" si="5"/>
        <v>1.9597069597069596</v>
      </c>
      <c r="O33" s="1">
        <v>273</v>
      </c>
      <c r="P33" s="74">
        <f>P32+B33</f>
        <v>58936</v>
      </c>
      <c r="Q33" s="1">
        <f t="shared" si="3"/>
        <v>81338</v>
      </c>
    </row>
    <row r="34" spans="1:17" ht="15.75" thickBot="1" x14ac:dyDescent="0.3">
      <c r="A34" s="8" t="s">
        <v>7</v>
      </c>
      <c r="B34" s="16">
        <v>2593</v>
      </c>
      <c r="C34" s="8">
        <v>312</v>
      </c>
      <c r="D34" s="27">
        <v>187</v>
      </c>
      <c r="E34" s="27">
        <f t="shared" si="0"/>
        <v>13.866310160427808</v>
      </c>
      <c r="F34" s="88" t="s">
        <v>35</v>
      </c>
      <c r="G34" s="61">
        <f t="shared" si="1"/>
        <v>0.59935897435897434</v>
      </c>
      <c r="H34" s="16">
        <v>5841</v>
      </c>
      <c r="I34" s="8">
        <v>489</v>
      </c>
      <c r="J34" s="28">
        <v>398</v>
      </c>
      <c r="K34" s="29">
        <f t="shared" si="4"/>
        <v>0.81390593047034765</v>
      </c>
      <c r="L34" s="84">
        <f t="shared" si="2"/>
        <v>14.675879396984925</v>
      </c>
      <c r="M34" s="83"/>
      <c r="N34" s="10">
        <f t="shared" si="5"/>
        <v>1.6464646464646464</v>
      </c>
      <c r="O34" s="9">
        <v>297</v>
      </c>
      <c r="P34" s="74">
        <f t="shared" si="6"/>
        <v>61529</v>
      </c>
      <c r="Q34" s="1">
        <f t="shared" si="3"/>
        <v>87179</v>
      </c>
    </row>
    <row r="35" spans="1:17" x14ac:dyDescent="0.25">
      <c r="B35" s="31" t="s">
        <v>21</v>
      </c>
      <c r="D35" s="38"/>
      <c r="E35" s="38" t="s">
        <v>27</v>
      </c>
      <c r="F35" s="38" t="s">
        <v>27</v>
      </c>
      <c r="G35" s="38" t="s">
        <v>27</v>
      </c>
      <c r="H35" s="31" t="s">
        <v>21</v>
      </c>
      <c r="I35"/>
      <c r="J35" s="38"/>
      <c r="K35" s="38" t="s">
        <v>27</v>
      </c>
      <c r="L35" s="38" t="s">
        <v>27</v>
      </c>
      <c r="M35" s="38" t="s">
        <v>27</v>
      </c>
      <c r="N35" s="38" t="s">
        <v>27</v>
      </c>
    </row>
    <row r="36" spans="1:17" x14ac:dyDescent="0.25">
      <c r="B36" s="32">
        <f>SUM(B2:B34)</f>
        <v>61529</v>
      </c>
      <c r="C36" s="32"/>
      <c r="D36" s="34"/>
      <c r="E36" s="34">
        <f>AVERAGE(E2:E34)</f>
        <v>13.183279729421129</v>
      </c>
      <c r="F36" s="36">
        <f>AVERAGE(F4,F11,F19,F28)</f>
        <v>12.668170137725857</v>
      </c>
      <c r="G36" s="39">
        <f>AVERAGE(G2:G34)</f>
        <v>0.75897301607193857</v>
      </c>
      <c r="H36" s="32">
        <f>SUM(H2:H34)</f>
        <v>87179</v>
      </c>
      <c r="I36"/>
      <c r="J36" s="34"/>
      <c r="K36" s="39">
        <f>AVERAGE(K3:K34)</f>
        <v>0.80658104410304199</v>
      </c>
      <c r="L36" s="36">
        <f>AVERAGE(L3:L34)</f>
        <v>17.612365303875158</v>
      </c>
      <c r="M36" s="36">
        <f>AVERAGE(M2:M34)</f>
        <v>17.937845045673029</v>
      </c>
      <c r="N36" s="40">
        <f>AVERAGE(N3:N34)</f>
        <v>1.6275314304526571</v>
      </c>
    </row>
    <row r="37" spans="1:17" ht="15.75" thickBot="1" x14ac:dyDescent="0.3">
      <c r="A37" s="6"/>
      <c r="B37" s="6"/>
      <c r="C37" s="54"/>
      <c r="E37" s="6"/>
      <c r="F37" s="6"/>
      <c r="G37" s="6"/>
      <c r="H37" s="55"/>
      <c r="I37" s="5"/>
      <c r="J37" s="26"/>
      <c r="K37" s="56"/>
      <c r="L37" s="13"/>
      <c r="M37" s="5"/>
      <c r="N37" s="4"/>
      <c r="P37" s="11"/>
    </row>
    <row r="38" spans="1:17" ht="15.75" thickTop="1" x14ac:dyDescent="0.25">
      <c r="A38" s="98"/>
      <c r="B38" s="99"/>
      <c r="C38" s="108" t="s">
        <v>56</v>
      </c>
      <c r="D38" s="108" t="s">
        <v>57</v>
      </c>
      <c r="E38" s="100"/>
    </row>
    <row r="39" spans="1:17" ht="65.25" customHeight="1" x14ac:dyDescent="0.25">
      <c r="A39" s="109" t="s">
        <v>58</v>
      </c>
      <c r="B39" s="116" t="s">
        <v>49</v>
      </c>
      <c r="C39" s="118" t="s">
        <v>50</v>
      </c>
      <c r="D39" s="117" t="s">
        <v>51</v>
      </c>
      <c r="E39" s="101"/>
      <c r="G39" s="73"/>
      <c r="I39" s="72" t="s">
        <v>42</v>
      </c>
      <c r="J39" s="72" t="s">
        <v>54</v>
      </c>
      <c r="K39" s="72" t="s">
        <v>43</v>
      </c>
      <c r="L39" s="72" t="s">
        <v>36</v>
      </c>
      <c r="M39" s="72" t="s">
        <v>43</v>
      </c>
    </row>
    <row r="40" spans="1:17" ht="40.5" customHeight="1" x14ac:dyDescent="0.25">
      <c r="A40" s="102" t="s">
        <v>38</v>
      </c>
      <c r="B40" s="63">
        <v>25</v>
      </c>
      <c r="C40" s="91">
        <f>AVERAGE(E12:E16)</f>
        <v>25.712975956739022</v>
      </c>
      <c r="D40" s="63">
        <f>AVERAGE(L12:L16)</f>
        <v>17.033835792620174</v>
      </c>
      <c r="E40" s="101"/>
      <c r="I40" s="62">
        <v>1950</v>
      </c>
      <c r="J40" s="64">
        <v>1079</v>
      </c>
      <c r="K40" s="64">
        <f>J40</f>
        <v>1079</v>
      </c>
      <c r="L40" s="68">
        <f>SUM(B2:B3)</f>
        <v>1079</v>
      </c>
      <c r="M40" s="67">
        <f>L40</f>
        <v>1079</v>
      </c>
    </row>
    <row r="41" spans="1:17" ht="25.5" x14ac:dyDescent="0.25">
      <c r="A41" s="103" t="s">
        <v>39</v>
      </c>
      <c r="B41" s="63">
        <v>13</v>
      </c>
      <c r="C41" s="91">
        <f>AVERAGE(E17:E22)</f>
        <v>12.881396109869344</v>
      </c>
      <c r="D41" s="63">
        <f>AVERAGE(L17:L22)</f>
        <v>21.279076527284257</v>
      </c>
      <c r="E41" s="101"/>
      <c r="I41" s="62">
        <v>1951</v>
      </c>
      <c r="J41" s="64">
        <v>18759</v>
      </c>
      <c r="K41" s="64">
        <f>K40+J41</f>
        <v>19838</v>
      </c>
      <c r="L41" s="68">
        <f>SUM(B4:B15)</f>
        <v>18759</v>
      </c>
      <c r="M41" s="67">
        <f>M40+L41</f>
        <v>19838</v>
      </c>
    </row>
    <row r="42" spans="1:17" ht="49.5" customHeight="1" thickBot="1" x14ac:dyDescent="0.3">
      <c r="A42" s="104" t="s">
        <v>40</v>
      </c>
      <c r="B42" s="105">
        <v>10</v>
      </c>
      <c r="C42" s="106">
        <f>AVERAGE(E23:E27)</f>
        <v>7.8990593271635818</v>
      </c>
      <c r="D42" s="105">
        <f>AVERAGE(L23:L27)</f>
        <v>17.639166735711164</v>
      </c>
      <c r="E42" s="107"/>
      <c r="I42" s="62">
        <v>1952</v>
      </c>
      <c r="J42" s="64">
        <v>23539</v>
      </c>
      <c r="K42" s="64">
        <f t="shared" ref="K42:K43" si="7">K41+J42</f>
        <v>43377</v>
      </c>
      <c r="L42" s="68">
        <f>SUM(B16:B27)</f>
        <v>23539</v>
      </c>
      <c r="M42" s="67">
        <f>M41+L42</f>
        <v>43377</v>
      </c>
    </row>
    <row r="43" spans="1:17" ht="15.75" thickTop="1" x14ac:dyDescent="0.25">
      <c r="A43" s="54"/>
      <c r="B43" s="57"/>
      <c r="F43" s="12"/>
      <c r="I43" s="62">
        <v>1953</v>
      </c>
      <c r="J43" s="69">
        <v>18152</v>
      </c>
      <c r="K43" s="64">
        <f t="shared" si="7"/>
        <v>61529</v>
      </c>
      <c r="L43" s="68">
        <f>SUM(B28:B34)</f>
        <v>18152</v>
      </c>
      <c r="M43" s="67">
        <f>M42+L43</f>
        <v>61529</v>
      </c>
    </row>
    <row r="44" spans="1:17" x14ac:dyDescent="0.25">
      <c r="A44" s="54"/>
      <c r="B44" s="57"/>
      <c r="C44" s="5"/>
      <c r="E44" s="51"/>
      <c r="F44" s="58"/>
      <c r="G44" s="5"/>
      <c r="I44" s="5"/>
      <c r="J44" s="70">
        <f>SUM(J40:J43)</f>
        <v>61529</v>
      </c>
      <c r="K44" s="64"/>
      <c r="L44" s="68">
        <f>SUM(L40:L43)</f>
        <v>61529</v>
      </c>
      <c r="M44" s="5"/>
    </row>
    <row r="45" spans="1:17" x14ac:dyDescent="0.25">
      <c r="A45" s="54"/>
      <c r="B45" s="57"/>
      <c r="C45" s="21"/>
      <c r="G45" s="5"/>
      <c r="I45" s="5"/>
      <c r="J45" s="71"/>
      <c r="K45" s="21"/>
      <c r="L45" s="21"/>
      <c r="M45" s="21"/>
    </row>
    <row r="46" spans="1:17" ht="30" x14ac:dyDescent="0.25">
      <c r="A46" s="6"/>
      <c r="B46" s="6"/>
      <c r="C46" s="5"/>
      <c r="D46" s="59"/>
      <c r="E46" s="51"/>
      <c r="F46" s="58"/>
      <c r="G46" s="5"/>
      <c r="I46" s="5"/>
      <c r="J46" s="78" t="s">
        <v>44</v>
      </c>
      <c r="K46" s="78">
        <f>SUM(B2:B10)</f>
        <v>6690</v>
      </c>
      <c r="L46" s="26"/>
      <c r="M46" s="21"/>
    </row>
    <row r="47" spans="1:17" ht="30" x14ac:dyDescent="0.25">
      <c r="A47" s="54"/>
      <c r="B47" s="57"/>
      <c r="C47" s="5"/>
      <c r="D47" s="59"/>
      <c r="E47" s="51"/>
      <c r="F47" s="58"/>
      <c r="G47" s="5"/>
      <c r="H47" s="5"/>
      <c r="I47" s="5"/>
      <c r="J47" s="79" t="s">
        <v>37</v>
      </c>
      <c r="K47" s="78">
        <f>SUM(B2:B17)</f>
        <v>23761</v>
      </c>
      <c r="L47" s="26"/>
      <c r="M47" s="5"/>
    </row>
    <row r="48" spans="1:17" x14ac:dyDescent="0.25">
      <c r="A48" s="54"/>
      <c r="B48" s="57"/>
      <c r="C48" s="5"/>
      <c r="D48" s="59"/>
      <c r="E48" s="51"/>
      <c r="F48" s="51"/>
      <c r="G48" s="5"/>
      <c r="H48" s="5"/>
      <c r="M48" s="5"/>
      <c r="N48" s="13"/>
    </row>
    <row r="49" spans="1:14" x14ac:dyDescent="0.25">
      <c r="A49" s="6"/>
      <c r="B49" s="6"/>
      <c r="C49" s="5"/>
      <c r="D49" s="59"/>
      <c r="E49" s="51"/>
      <c r="F49" s="58"/>
      <c r="G49" s="5"/>
      <c r="H49" s="5"/>
      <c r="M49" s="26"/>
      <c r="N49" s="13"/>
    </row>
    <row r="50" spans="1:14" x14ac:dyDescent="0.25">
      <c r="A50" s="6"/>
      <c r="B50" s="6"/>
      <c r="C50" s="5"/>
      <c r="D50" s="59"/>
      <c r="E50" s="51"/>
      <c r="F50" s="58"/>
      <c r="G50" s="5"/>
      <c r="H50" s="5"/>
      <c r="N50" s="13"/>
    </row>
    <row r="51" spans="1:14" x14ac:dyDescent="0.25">
      <c r="A51" s="6"/>
      <c r="B51" s="6"/>
      <c r="C51" s="5"/>
      <c r="D51" s="59"/>
      <c r="E51" s="51"/>
      <c r="F51" s="58"/>
      <c r="G51" s="5"/>
      <c r="H51" s="5"/>
      <c r="N51" s="13"/>
    </row>
    <row r="52" spans="1:14" x14ac:dyDescent="0.25">
      <c r="A52" s="6"/>
      <c r="B52" s="6"/>
      <c r="C52" s="5"/>
      <c r="D52" s="54"/>
      <c r="E52" s="51"/>
      <c r="F52" s="58"/>
      <c r="G52" s="5"/>
      <c r="H52" s="5"/>
      <c r="N52" s="13"/>
    </row>
    <row r="53" spans="1:14" x14ac:dyDescent="0.25">
      <c r="A53" s="6"/>
      <c r="B53" s="6"/>
      <c r="C53" s="5"/>
      <c r="D53" s="6"/>
      <c r="E53" s="51"/>
      <c r="F53" s="58"/>
      <c r="G53" s="5"/>
      <c r="H53" s="5"/>
      <c r="I53" s="5"/>
      <c r="J53" s="6"/>
      <c r="K53" s="68"/>
    </row>
    <row r="54" spans="1:14" x14ac:dyDescent="0.25">
      <c r="A54" s="6"/>
      <c r="B54" s="6"/>
      <c r="C54" s="5"/>
      <c r="D54" s="6"/>
      <c r="E54" s="6"/>
      <c r="F54" s="60"/>
      <c r="G54" s="60"/>
      <c r="H54" s="5"/>
      <c r="I54" s="5"/>
      <c r="J54" s="6"/>
      <c r="K54" s="5"/>
    </row>
    <row r="55" spans="1:14" x14ac:dyDescent="0.25">
      <c r="A55" s="6"/>
      <c r="B55" s="6"/>
      <c r="C55" s="5"/>
      <c r="D55" s="6"/>
      <c r="E55" s="6"/>
      <c r="F55" s="6"/>
      <c r="G55" s="5"/>
      <c r="H55" s="5"/>
      <c r="I55" s="5"/>
      <c r="J55" s="6"/>
      <c r="K55" s="5"/>
    </row>
    <row r="56" spans="1:14" x14ac:dyDescent="0.25">
      <c r="C56" s="1"/>
      <c r="G56" s="1"/>
    </row>
    <row r="57" spans="1:14" x14ac:dyDescent="0.25">
      <c r="C57" s="1"/>
      <c r="G57" s="1"/>
    </row>
    <row r="58" spans="1:14" x14ac:dyDescent="0.25">
      <c r="C58" s="1"/>
      <c r="G58" s="1"/>
    </row>
    <row r="59" spans="1:14" x14ac:dyDescent="0.25">
      <c r="C59" s="1"/>
      <c r="G59" s="1"/>
    </row>
    <row r="60" spans="1:14" x14ac:dyDescent="0.25">
      <c r="C60" s="1"/>
      <c r="G60" s="1"/>
    </row>
    <row r="61" spans="1:14" x14ac:dyDescent="0.25">
      <c r="C61" s="1"/>
      <c r="G61" s="1"/>
    </row>
    <row r="62" spans="1:14" x14ac:dyDescent="0.25">
      <c r="C62" s="1"/>
      <c r="G62" s="1"/>
    </row>
    <row r="63" spans="1:14" x14ac:dyDescent="0.25">
      <c r="C63" s="1"/>
      <c r="G63" s="1"/>
    </row>
    <row r="64" spans="1:14" x14ac:dyDescent="0.25">
      <c r="C64" s="1"/>
      <c r="G64" s="1"/>
    </row>
    <row r="65" spans="3:7" x14ac:dyDescent="0.25">
      <c r="C65" s="1"/>
      <c r="G65" s="1"/>
    </row>
    <row r="66" spans="3:7" x14ac:dyDescent="0.25">
      <c r="C66" s="1"/>
    </row>
    <row r="67" spans="3:7" x14ac:dyDescent="0.25">
      <c r="C67" s="1"/>
    </row>
    <row r="68" spans="3:7" x14ac:dyDescent="0.25">
      <c r="C68" s="1"/>
    </row>
    <row r="69" spans="3:7" x14ac:dyDescent="0.25">
      <c r="C69" s="1"/>
    </row>
    <row r="70" spans="3:7" x14ac:dyDescent="0.25">
      <c r="C70" s="1"/>
    </row>
    <row r="71" spans="3:7" x14ac:dyDescent="0.25">
      <c r="C71" s="1"/>
    </row>
    <row r="72" spans="3:7" x14ac:dyDescent="0.25">
      <c r="C72" s="1"/>
    </row>
    <row r="73" spans="3:7" x14ac:dyDescent="0.25">
      <c r="C73" s="1"/>
    </row>
    <row r="74" spans="3:7" x14ac:dyDescent="0.25">
      <c r="C74" s="1"/>
    </row>
    <row r="75" spans="3:7" x14ac:dyDescent="0.25">
      <c r="C75" s="1"/>
    </row>
    <row r="76" spans="3:7" x14ac:dyDescent="0.25">
      <c r="C76" s="1"/>
    </row>
    <row r="77" spans="3:7" x14ac:dyDescent="0.25">
      <c r="C77" s="1"/>
    </row>
    <row r="78" spans="3:7" x14ac:dyDescent="0.25">
      <c r="C78" s="1"/>
    </row>
    <row r="79" spans="3:7" x14ac:dyDescent="0.25">
      <c r="C79" s="1"/>
    </row>
    <row r="80" spans="3:7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28515625" customWidth="1"/>
    <col min="2" max="2" width="23.42578125" customWidth="1"/>
    <col min="3" max="3" width="22.42578125" customWidth="1"/>
    <col min="4" max="4" width="20.7109375" style="5" customWidth="1"/>
    <col min="5" max="5" width="19.28515625" customWidth="1"/>
    <col min="6" max="6" width="22.5703125" customWidth="1"/>
    <col min="7" max="7" width="13.28515625" customWidth="1"/>
    <col min="8" max="8" width="17.5703125" style="1" customWidth="1"/>
    <col min="9" max="9" width="19.85546875" style="1" customWidth="1"/>
    <col min="10" max="10" width="14.140625" customWidth="1"/>
    <col min="11" max="11" width="16.7109375" style="1" customWidth="1"/>
    <col min="12" max="12" width="16.7109375" style="5" customWidth="1"/>
    <col min="13" max="13" width="23.140625" style="1" customWidth="1"/>
    <col min="14" max="14" width="16.42578125" style="5" customWidth="1"/>
    <col min="15" max="15" width="23.140625" style="52" customWidth="1"/>
    <col min="16" max="16" width="11.140625" style="1" customWidth="1"/>
    <col min="17" max="17" width="12" style="1" customWidth="1"/>
  </cols>
  <sheetData>
    <row r="1" spans="1:18" ht="69.75" customHeight="1" x14ac:dyDescent="0.25">
      <c r="A1" s="110" t="s">
        <v>60</v>
      </c>
      <c r="B1" s="43" t="s">
        <v>26</v>
      </c>
      <c r="C1" s="44" t="s">
        <v>24</v>
      </c>
      <c r="D1" s="44" t="s">
        <v>25</v>
      </c>
      <c r="E1" s="41" t="s">
        <v>47</v>
      </c>
      <c r="F1" s="85" t="s">
        <v>55</v>
      </c>
      <c r="G1" s="46" t="s">
        <v>41</v>
      </c>
      <c r="H1" s="44" t="s">
        <v>22</v>
      </c>
      <c r="I1" s="44" t="s">
        <v>31</v>
      </c>
      <c r="J1" s="48" t="s">
        <v>67</v>
      </c>
      <c r="K1" s="47" t="s">
        <v>48</v>
      </c>
      <c r="L1" s="41" t="s">
        <v>52</v>
      </c>
      <c r="M1" s="80" t="s">
        <v>53</v>
      </c>
      <c r="N1" s="44" t="s">
        <v>16</v>
      </c>
      <c r="O1" s="49" t="s">
        <v>23</v>
      </c>
      <c r="P1" s="92" t="s">
        <v>45</v>
      </c>
      <c r="Q1" s="44" t="s">
        <v>46</v>
      </c>
      <c r="R1" s="3"/>
    </row>
    <row r="2" spans="1:18" x14ac:dyDescent="0.25">
      <c r="A2" s="2" t="s">
        <v>17</v>
      </c>
      <c r="B2" s="21">
        <v>402</v>
      </c>
      <c r="C2" s="1">
        <v>114</v>
      </c>
      <c r="D2" s="42">
        <v>99</v>
      </c>
      <c r="E2" s="26">
        <f t="shared" ref="E2:E34" si="0">B2/D2</f>
        <v>4.0606060606060606</v>
      </c>
      <c r="F2" s="86" t="s">
        <v>12</v>
      </c>
      <c r="G2" s="37">
        <f>D2/C2</f>
        <v>0.86842105263157898</v>
      </c>
      <c r="I2" s="2"/>
      <c r="J2" s="5"/>
      <c r="M2" s="77"/>
      <c r="N2" s="7"/>
      <c r="O2" s="94"/>
      <c r="P2" s="93">
        <f>B2</f>
        <v>402</v>
      </c>
      <c r="Q2" s="1">
        <v>0</v>
      </c>
    </row>
    <row r="3" spans="1:18" x14ac:dyDescent="0.25">
      <c r="A3" s="2" t="s">
        <v>1</v>
      </c>
      <c r="B3" s="21">
        <v>677</v>
      </c>
      <c r="C3" s="1">
        <v>64</v>
      </c>
      <c r="D3" s="24">
        <f>C3*0.98</f>
        <v>62.72</v>
      </c>
      <c r="E3" s="26">
        <f t="shared" si="0"/>
        <v>10.794005102040817</v>
      </c>
      <c r="F3" s="86"/>
      <c r="G3" s="37">
        <f t="shared" ref="G3:G34" si="1">D3/C3</f>
        <v>0.98</v>
      </c>
      <c r="H3" s="1">
        <v>236</v>
      </c>
      <c r="I3" s="2">
        <v>26</v>
      </c>
      <c r="J3" s="5">
        <v>26</v>
      </c>
      <c r="K3" s="22">
        <f>J3/I3</f>
        <v>1</v>
      </c>
      <c r="L3" s="26">
        <f t="shared" ref="L3:L34" si="2">H3/J3</f>
        <v>9.0769230769230766</v>
      </c>
      <c r="M3" s="81"/>
      <c r="N3" s="7">
        <f>I3/O3</f>
        <v>1.368421052631579</v>
      </c>
      <c r="O3" s="95">
        <v>19</v>
      </c>
      <c r="P3" s="93">
        <f>P2+B3</f>
        <v>1079</v>
      </c>
      <c r="Q3" s="1">
        <f>Q2+H3</f>
        <v>236</v>
      </c>
    </row>
    <row r="4" spans="1:18" x14ac:dyDescent="0.25">
      <c r="A4" s="2" t="s">
        <v>18</v>
      </c>
      <c r="B4" s="21">
        <v>519</v>
      </c>
      <c r="C4" s="1">
        <v>68</v>
      </c>
      <c r="D4" s="24">
        <f>C4*0.92</f>
        <v>62.56</v>
      </c>
      <c r="E4" s="26">
        <f t="shared" si="0"/>
        <v>8.2960358056265981</v>
      </c>
      <c r="F4" s="87">
        <f>AVERAGE(E2:E6)</f>
        <v>6.8570201499572168</v>
      </c>
      <c r="G4" s="37">
        <f t="shared" si="1"/>
        <v>0.92</v>
      </c>
      <c r="H4" s="5">
        <v>212</v>
      </c>
      <c r="I4" s="4">
        <v>6</v>
      </c>
      <c r="J4" s="5">
        <v>6</v>
      </c>
      <c r="K4" s="22">
        <f>J4/I4</f>
        <v>1</v>
      </c>
      <c r="L4" s="26">
        <f t="shared" si="2"/>
        <v>35.333333333333336</v>
      </c>
      <c r="M4" s="82">
        <f>AVERAGE(L3:L6)</f>
        <v>16.864759224515321</v>
      </c>
      <c r="N4" s="7">
        <f>I4/O4</f>
        <v>1.5</v>
      </c>
      <c r="O4" s="95">
        <v>4</v>
      </c>
      <c r="P4" s="93">
        <f>P3+B4</f>
        <v>1598</v>
      </c>
      <c r="Q4" s="1">
        <f t="shared" ref="Q4:Q34" si="3">Q3+H4</f>
        <v>448</v>
      </c>
    </row>
    <row r="5" spans="1:18" x14ac:dyDescent="0.25">
      <c r="A5" s="2" t="s">
        <v>2</v>
      </c>
      <c r="B5" s="21">
        <v>371</v>
      </c>
      <c r="C5" s="1">
        <v>68</v>
      </c>
      <c r="D5" s="24">
        <f>C5*0.98</f>
        <v>66.64</v>
      </c>
      <c r="E5" s="26">
        <f t="shared" si="0"/>
        <v>5.5672268907563023</v>
      </c>
      <c r="F5" s="86"/>
      <c r="G5" s="37">
        <f t="shared" si="1"/>
        <v>0.98</v>
      </c>
      <c r="H5" s="1">
        <v>1</v>
      </c>
      <c r="I5" s="2">
        <v>0</v>
      </c>
      <c r="J5" s="5">
        <v>1</v>
      </c>
      <c r="K5" s="22">
        <v>1</v>
      </c>
      <c r="L5" s="26">
        <f t="shared" si="2"/>
        <v>1</v>
      </c>
      <c r="M5" s="81"/>
      <c r="N5" s="7">
        <v>0</v>
      </c>
      <c r="O5" s="95">
        <v>0</v>
      </c>
      <c r="P5" s="93">
        <f>P4+B5</f>
        <v>1969</v>
      </c>
      <c r="Q5" s="1">
        <f t="shared" si="3"/>
        <v>449</v>
      </c>
    </row>
    <row r="6" spans="1:18" ht="15.75" thickBot="1" x14ac:dyDescent="0.3">
      <c r="A6" s="8" t="s">
        <v>3</v>
      </c>
      <c r="B6" s="65">
        <v>371</v>
      </c>
      <c r="C6" s="16">
        <v>68</v>
      </c>
      <c r="D6" s="16">
        <f>C6*0.98</f>
        <v>66.64</v>
      </c>
      <c r="E6" s="27">
        <f t="shared" si="0"/>
        <v>5.5672268907563023</v>
      </c>
      <c r="F6" s="88"/>
      <c r="G6" s="61">
        <f t="shared" si="1"/>
        <v>0.98</v>
      </c>
      <c r="H6" s="9">
        <v>904</v>
      </c>
      <c r="I6" s="8">
        <v>41</v>
      </c>
      <c r="J6" s="28">
        <v>41</v>
      </c>
      <c r="K6" s="29">
        <f t="shared" ref="K6:K34" si="4">J6/I6</f>
        <v>1</v>
      </c>
      <c r="L6" s="84">
        <f t="shared" si="2"/>
        <v>22.048780487804876</v>
      </c>
      <c r="M6" s="83"/>
      <c r="N6" s="10">
        <f t="shared" ref="N6:N34" si="5">I6/O6</f>
        <v>1.1081081081081081</v>
      </c>
      <c r="O6" s="96">
        <v>37</v>
      </c>
      <c r="P6" s="93">
        <f>P5+B6</f>
        <v>2340</v>
      </c>
      <c r="Q6" s="1">
        <f t="shared" si="3"/>
        <v>1353</v>
      </c>
    </row>
    <row r="7" spans="1:18" x14ac:dyDescent="0.25">
      <c r="A7" s="2" t="s">
        <v>4</v>
      </c>
      <c r="B7" s="21">
        <v>1088</v>
      </c>
      <c r="C7" s="1">
        <v>68</v>
      </c>
      <c r="D7" s="24">
        <f>C7*0.98</f>
        <v>66.64</v>
      </c>
      <c r="E7" s="26">
        <f t="shared" si="0"/>
        <v>16.326530612244898</v>
      </c>
      <c r="F7" s="86" t="s">
        <v>13</v>
      </c>
      <c r="G7" s="37">
        <f t="shared" si="1"/>
        <v>0.98</v>
      </c>
      <c r="H7" s="1">
        <v>1073</v>
      </c>
      <c r="I7" s="2">
        <v>58</v>
      </c>
      <c r="J7" s="5">
        <v>58</v>
      </c>
      <c r="K7" s="22">
        <f t="shared" si="4"/>
        <v>1</v>
      </c>
      <c r="L7" s="26">
        <f t="shared" si="2"/>
        <v>18.5</v>
      </c>
      <c r="M7" s="81"/>
      <c r="N7" s="7">
        <f t="shared" si="5"/>
        <v>1.2608695652173914</v>
      </c>
      <c r="O7" s="95">
        <v>46</v>
      </c>
      <c r="P7" s="93">
        <f t="shared" ref="P7:P34" si="6">P6+B7</f>
        <v>3428</v>
      </c>
      <c r="Q7" s="1">
        <f t="shared" si="3"/>
        <v>2426</v>
      </c>
    </row>
    <row r="8" spans="1:18" x14ac:dyDescent="0.25">
      <c r="A8" s="2" t="s">
        <v>5</v>
      </c>
      <c r="B8" s="21">
        <v>1087</v>
      </c>
      <c r="C8" s="1">
        <v>100</v>
      </c>
      <c r="D8" s="24">
        <f>(68*0.92)+(32*0.98)</f>
        <v>93.92</v>
      </c>
      <c r="E8" s="26">
        <f t="shared" si="0"/>
        <v>11.573679727427598</v>
      </c>
      <c r="F8" s="86"/>
      <c r="G8" s="37">
        <f t="shared" si="1"/>
        <v>0.93920000000000003</v>
      </c>
      <c r="H8" s="11">
        <v>1360</v>
      </c>
      <c r="I8" s="2">
        <v>57</v>
      </c>
      <c r="J8" s="5">
        <v>57</v>
      </c>
      <c r="K8" s="22">
        <f t="shared" si="4"/>
        <v>1</v>
      </c>
      <c r="L8" s="26">
        <f t="shared" si="2"/>
        <v>23.859649122807017</v>
      </c>
      <c r="M8" s="81"/>
      <c r="N8" s="7">
        <f t="shared" si="5"/>
        <v>1.2127659574468086</v>
      </c>
      <c r="O8" s="95">
        <v>47</v>
      </c>
      <c r="P8" s="93">
        <f t="shared" si="6"/>
        <v>4515</v>
      </c>
      <c r="Q8" s="1">
        <f t="shared" si="3"/>
        <v>3786</v>
      </c>
    </row>
    <row r="9" spans="1:18" x14ac:dyDescent="0.25">
      <c r="A9" s="2" t="s">
        <v>6</v>
      </c>
      <c r="B9" s="21">
        <v>1088</v>
      </c>
      <c r="C9" s="1">
        <v>168</v>
      </c>
      <c r="D9" s="24">
        <f>(68*0.85)+(100*0.92)</f>
        <v>149.80000000000001</v>
      </c>
      <c r="E9" s="26">
        <f t="shared" si="0"/>
        <v>7.2630173564752996</v>
      </c>
      <c r="F9" s="86"/>
      <c r="G9" s="37">
        <f t="shared" si="1"/>
        <v>0.89166666666666672</v>
      </c>
      <c r="H9" s="11">
        <v>1250</v>
      </c>
      <c r="I9" s="2">
        <v>59</v>
      </c>
      <c r="J9" s="5">
        <v>52</v>
      </c>
      <c r="K9" s="22">
        <f t="shared" si="4"/>
        <v>0.88135593220338981</v>
      </c>
      <c r="L9" s="26">
        <f t="shared" si="2"/>
        <v>24.03846153846154</v>
      </c>
      <c r="M9" s="81"/>
      <c r="N9" s="7">
        <f t="shared" si="5"/>
        <v>1.3409090909090908</v>
      </c>
      <c r="O9" s="95">
        <v>44</v>
      </c>
      <c r="P9" s="93">
        <f t="shared" si="6"/>
        <v>5603</v>
      </c>
      <c r="Q9" s="1">
        <f t="shared" si="3"/>
        <v>5036</v>
      </c>
    </row>
    <row r="10" spans="1:18" x14ac:dyDescent="0.25">
      <c r="A10" s="4" t="s">
        <v>7</v>
      </c>
      <c r="B10" s="21">
        <v>1087</v>
      </c>
      <c r="C10" s="1">
        <v>168</v>
      </c>
      <c r="D10" s="24">
        <f>(68*0.79)+(100*0.85)</f>
        <v>138.72</v>
      </c>
      <c r="E10" s="26">
        <f t="shared" si="0"/>
        <v>7.8359284890426757</v>
      </c>
      <c r="F10" s="86"/>
      <c r="G10" s="37">
        <f t="shared" si="1"/>
        <v>0.82571428571428573</v>
      </c>
      <c r="H10" s="11">
        <v>734</v>
      </c>
      <c r="I10" s="2">
        <v>88</v>
      </c>
      <c r="J10" s="5">
        <v>82</v>
      </c>
      <c r="K10" s="22">
        <f t="shared" si="4"/>
        <v>0.93181818181818177</v>
      </c>
      <c r="L10" s="26">
        <f t="shared" si="2"/>
        <v>8.9512195121951219</v>
      </c>
      <c r="M10" s="81"/>
      <c r="N10" s="7">
        <f t="shared" si="5"/>
        <v>2.1463414634146343</v>
      </c>
      <c r="O10" s="97">
        <v>41</v>
      </c>
      <c r="P10" s="93">
        <f t="shared" si="6"/>
        <v>6690</v>
      </c>
      <c r="Q10" s="1">
        <f t="shared" si="3"/>
        <v>5770</v>
      </c>
    </row>
    <row r="11" spans="1:18" ht="15.75" customHeight="1" x14ac:dyDescent="0.25">
      <c r="A11" s="4" t="s">
        <v>8</v>
      </c>
      <c r="B11" s="21">
        <v>1410</v>
      </c>
      <c r="C11" s="1">
        <v>168</v>
      </c>
      <c r="D11" s="24">
        <f>(68*0.7)+(100*0.79)</f>
        <v>126.6</v>
      </c>
      <c r="E11" s="26">
        <f t="shared" si="0"/>
        <v>11.13744075829384</v>
      </c>
      <c r="F11" s="87">
        <f>AVERAGE(E7:E16)</f>
        <v>18.270147672717943</v>
      </c>
      <c r="G11" s="37">
        <f t="shared" si="1"/>
        <v>0.75357142857142856</v>
      </c>
      <c r="H11" s="11">
        <v>940</v>
      </c>
      <c r="I11" s="2">
        <v>82</v>
      </c>
      <c r="J11" s="5">
        <v>69</v>
      </c>
      <c r="K11" s="22">
        <f t="shared" si="4"/>
        <v>0.84146341463414631</v>
      </c>
      <c r="L11" s="26">
        <f t="shared" si="2"/>
        <v>13.623188405797102</v>
      </c>
      <c r="M11" s="81"/>
      <c r="N11" s="7">
        <f t="shared" si="5"/>
        <v>2.1025641025641026</v>
      </c>
      <c r="O11" s="97">
        <v>39</v>
      </c>
      <c r="P11" s="93">
        <f t="shared" si="6"/>
        <v>8100</v>
      </c>
      <c r="Q11" s="1">
        <f t="shared" si="3"/>
        <v>6710</v>
      </c>
    </row>
    <row r="12" spans="1:18" x14ac:dyDescent="0.25">
      <c r="A12" s="4" t="s">
        <v>9</v>
      </c>
      <c r="B12" s="21">
        <v>2935</v>
      </c>
      <c r="C12" s="1">
        <v>168</v>
      </c>
      <c r="D12" s="24">
        <f>(68*0.6)+(100*0.7)</f>
        <v>110.8</v>
      </c>
      <c r="E12" s="26">
        <f t="shared" si="0"/>
        <v>26.489169675090253</v>
      </c>
      <c r="F12" s="86"/>
      <c r="G12" s="37">
        <f t="shared" si="1"/>
        <v>0.65952380952380951</v>
      </c>
      <c r="H12" s="11">
        <v>1119</v>
      </c>
      <c r="I12" s="2">
        <v>90</v>
      </c>
      <c r="J12" s="5">
        <v>75</v>
      </c>
      <c r="K12" s="22">
        <f t="shared" si="4"/>
        <v>0.83333333333333337</v>
      </c>
      <c r="L12" s="26">
        <f t="shared" si="2"/>
        <v>14.92</v>
      </c>
      <c r="M12" s="82">
        <f>AVERAGE(L7:L16)</f>
        <v>17.414169754236166</v>
      </c>
      <c r="N12" s="7">
        <f t="shared" si="5"/>
        <v>2.0454545454545454</v>
      </c>
      <c r="O12" s="97">
        <v>44</v>
      </c>
      <c r="P12" s="93">
        <f t="shared" si="6"/>
        <v>11035</v>
      </c>
      <c r="Q12" s="1">
        <f t="shared" si="3"/>
        <v>7829</v>
      </c>
    </row>
    <row r="13" spans="1:18" x14ac:dyDescent="0.25">
      <c r="A13" s="4" t="s">
        <v>10</v>
      </c>
      <c r="B13" s="21">
        <v>2934</v>
      </c>
      <c r="C13" s="1">
        <v>168</v>
      </c>
      <c r="D13" s="24">
        <f>(68*0.6)+(100*0.6)</f>
        <v>100.8</v>
      </c>
      <c r="E13" s="26">
        <f t="shared" si="0"/>
        <v>29.107142857142858</v>
      </c>
      <c r="F13" s="86"/>
      <c r="G13" s="37">
        <f t="shared" si="1"/>
        <v>0.6</v>
      </c>
      <c r="H13" s="11">
        <v>1622</v>
      </c>
      <c r="I13" s="2">
        <v>85</v>
      </c>
      <c r="J13" s="5">
        <v>62</v>
      </c>
      <c r="K13" s="22">
        <f t="shared" si="4"/>
        <v>0.72941176470588232</v>
      </c>
      <c r="L13" s="26">
        <f t="shared" si="2"/>
        <v>26.161290322580644</v>
      </c>
      <c r="M13" s="81"/>
      <c r="N13" s="7">
        <f t="shared" si="5"/>
        <v>2.0238095238095237</v>
      </c>
      <c r="O13" s="97">
        <v>42</v>
      </c>
      <c r="P13" s="93">
        <f t="shared" si="6"/>
        <v>13969</v>
      </c>
      <c r="Q13" s="1">
        <f t="shared" si="3"/>
        <v>9451</v>
      </c>
    </row>
    <row r="14" spans="1:18" x14ac:dyDescent="0.25">
      <c r="A14" s="4" t="s">
        <v>0</v>
      </c>
      <c r="B14" s="21">
        <v>2935</v>
      </c>
      <c r="C14" s="1">
        <v>168</v>
      </c>
      <c r="D14" s="24">
        <f>(68*0.6)+(100*0.6)</f>
        <v>100.8</v>
      </c>
      <c r="E14" s="26">
        <f t="shared" si="0"/>
        <v>29.117063492063494</v>
      </c>
      <c r="F14" s="89"/>
      <c r="G14" s="37">
        <f t="shared" si="1"/>
        <v>0.6</v>
      </c>
      <c r="H14" s="11">
        <v>1003</v>
      </c>
      <c r="I14" s="2">
        <v>116</v>
      </c>
      <c r="J14" s="5">
        <v>74</v>
      </c>
      <c r="K14" s="22">
        <f t="shared" si="4"/>
        <v>0.63793103448275867</v>
      </c>
      <c r="L14" s="26">
        <f t="shared" si="2"/>
        <v>13.554054054054054</v>
      </c>
      <c r="M14" s="81"/>
      <c r="N14" s="7">
        <f t="shared" si="5"/>
        <v>2.0714285714285716</v>
      </c>
      <c r="O14" s="97">
        <v>56</v>
      </c>
      <c r="P14" s="93">
        <f t="shared" si="6"/>
        <v>16904</v>
      </c>
      <c r="Q14" s="1">
        <f t="shared" si="3"/>
        <v>10454</v>
      </c>
    </row>
    <row r="15" spans="1:18" ht="17.25" customHeight="1" x14ac:dyDescent="0.25">
      <c r="A15" s="4" t="s">
        <v>1</v>
      </c>
      <c r="B15" s="21">
        <v>2934</v>
      </c>
      <c r="C15" s="1">
        <v>168</v>
      </c>
      <c r="D15" s="24">
        <f>(68*0.6)+(100*0.6)</f>
        <v>100.8</v>
      </c>
      <c r="E15" s="26">
        <f t="shared" si="0"/>
        <v>29.107142857142858</v>
      </c>
      <c r="F15" s="90"/>
      <c r="G15" s="37">
        <f t="shared" si="1"/>
        <v>0.6</v>
      </c>
      <c r="H15" s="11">
        <v>2066</v>
      </c>
      <c r="I15" s="2">
        <v>201</v>
      </c>
      <c r="J15" s="5">
        <v>133</v>
      </c>
      <c r="K15" s="22">
        <f t="shared" si="4"/>
        <v>0.6616915422885572</v>
      </c>
      <c r="L15" s="26">
        <f t="shared" si="2"/>
        <v>15.533834586466165</v>
      </c>
      <c r="M15" s="81"/>
      <c r="N15" s="7">
        <f t="shared" si="5"/>
        <v>1.5826771653543308</v>
      </c>
      <c r="O15" s="97">
        <v>127</v>
      </c>
      <c r="P15" s="93">
        <f t="shared" si="6"/>
        <v>19838</v>
      </c>
      <c r="Q15" s="1">
        <f t="shared" si="3"/>
        <v>12520</v>
      </c>
    </row>
    <row r="16" spans="1:18" ht="15.75" thickBot="1" x14ac:dyDescent="0.3">
      <c r="A16" s="8" t="s">
        <v>19</v>
      </c>
      <c r="B16" s="65">
        <v>1961</v>
      </c>
      <c r="C16" s="8">
        <v>202</v>
      </c>
      <c r="D16" s="16">
        <v>133</v>
      </c>
      <c r="E16" s="27">
        <f t="shared" si="0"/>
        <v>14.744360902255639</v>
      </c>
      <c r="F16" s="88"/>
      <c r="G16" s="61">
        <f t="shared" si="1"/>
        <v>0.65841584158415845</v>
      </c>
      <c r="H16" s="19">
        <v>2340</v>
      </c>
      <c r="I16" s="8">
        <v>217</v>
      </c>
      <c r="J16" s="28">
        <v>156</v>
      </c>
      <c r="K16" s="29">
        <f t="shared" si="4"/>
        <v>0.71889400921658986</v>
      </c>
      <c r="L16" s="84">
        <f t="shared" si="2"/>
        <v>15</v>
      </c>
      <c r="M16" s="83"/>
      <c r="N16" s="10">
        <f t="shared" si="5"/>
        <v>1.631578947368421</v>
      </c>
      <c r="O16" s="96">
        <v>133</v>
      </c>
      <c r="P16" s="93">
        <f t="shared" si="6"/>
        <v>21799</v>
      </c>
      <c r="Q16" s="1">
        <f t="shared" si="3"/>
        <v>14860</v>
      </c>
    </row>
    <row r="17" spans="1:17" x14ac:dyDescent="0.25">
      <c r="A17" s="4" t="s">
        <v>2</v>
      </c>
      <c r="B17" s="66">
        <v>1962</v>
      </c>
      <c r="C17" s="1">
        <v>218</v>
      </c>
      <c r="D17" s="26">
        <v>117</v>
      </c>
      <c r="E17" s="26">
        <f t="shared" si="0"/>
        <v>16.76923076923077</v>
      </c>
      <c r="F17" s="86" t="s">
        <v>14</v>
      </c>
      <c r="G17" s="37">
        <f t="shared" si="1"/>
        <v>0.53669724770642202</v>
      </c>
      <c r="H17" s="20">
        <v>2500</v>
      </c>
      <c r="I17" s="2">
        <v>210</v>
      </c>
      <c r="J17" s="5">
        <v>170</v>
      </c>
      <c r="K17" s="22">
        <f t="shared" si="4"/>
        <v>0.80952380952380953</v>
      </c>
      <c r="L17" s="26">
        <f t="shared" si="2"/>
        <v>14.705882352941176</v>
      </c>
      <c r="M17" s="81"/>
      <c r="N17" s="7">
        <f t="shared" si="5"/>
        <v>1.5789473684210527</v>
      </c>
      <c r="O17" s="5">
        <v>133</v>
      </c>
      <c r="P17" s="74">
        <f t="shared" si="6"/>
        <v>23761</v>
      </c>
      <c r="Q17" s="1">
        <f t="shared" si="3"/>
        <v>17360</v>
      </c>
    </row>
    <row r="18" spans="1:17" x14ac:dyDescent="0.25">
      <c r="A18" s="4" t="s">
        <v>3</v>
      </c>
      <c r="B18" s="66">
        <v>1961</v>
      </c>
      <c r="C18" s="1">
        <v>168</v>
      </c>
      <c r="D18" s="24">
        <v>161</v>
      </c>
      <c r="E18" s="26">
        <f t="shared" si="0"/>
        <v>12.180124223602485</v>
      </c>
      <c r="F18" s="90"/>
      <c r="G18" s="37">
        <f t="shared" si="1"/>
        <v>0.95833333333333337</v>
      </c>
      <c r="H18" s="20">
        <v>3359</v>
      </c>
      <c r="I18" s="2">
        <v>201</v>
      </c>
      <c r="J18" s="5">
        <v>162</v>
      </c>
      <c r="K18" s="22">
        <f t="shared" si="4"/>
        <v>0.80597014925373134</v>
      </c>
      <c r="L18" s="26">
        <f t="shared" si="2"/>
        <v>20.734567901234566</v>
      </c>
      <c r="M18" s="81"/>
      <c r="N18" s="7">
        <f t="shared" si="5"/>
        <v>1.5112781954887218</v>
      </c>
      <c r="O18" s="5">
        <v>133</v>
      </c>
      <c r="P18" s="74">
        <f t="shared" si="6"/>
        <v>25722</v>
      </c>
      <c r="Q18" s="1">
        <f t="shared" si="3"/>
        <v>20719</v>
      </c>
    </row>
    <row r="19" spans="1:17" x14ac:dyDescent="0.25">
      <c r="A19" s="4" t="s">
        <v>4</v>
      </c>
      <c r="B19" s="66">
        <v>1962</v>
      </c>
      <c r="C19" s="1">
        <v>176</v>
      </c>
      <c r="D19" s="26">
        <v>157</v>
      </c>
      <c r="E19" s="26">
        <f t="shared" si="0"/>
        <v>12.496815286624203</v>
      </c>
      <c r="F19" s="87">
        <f>AVERAGE(E17:E22)</f>
        <v>12.881396109869344</v>
      </c>
      <c r="G19" s="37">
        <f t="shared" si="1"/>
        <v>0.89204545454545459</v>
      </c>
      <c r="H19" s="20">
        <v>3783</v>
      </c>
      <c r="I19" s="2">
        <v>178</v>
      </c>
      <c r="J19" s="5">
        <v>140</v>
      </c>
      <c r="K19" s="22">
        <f t="shared" si="4"/>
        <v>0.7865168539325843</v>
      </c>
      <c r="L19" s="26">
        <f t="shared" si="2"/>
        <v>27.021428571428572</v>
      </c>
      <c r="M19" s="81"/>
      <c r="N19" s="7">
        <f t="shared" si="5"/>
        <v>1.3798449612403101</v>
      </c>
      <c r="O19" s="5">
        <v>129</v>
      </c>
      <c r="P19" s="74">
        <f t="shared" si="6"/>
        <v>27684</v>
      </c>
      <c r="Q19" s="1">
        <f t="shared" si="3"/>
        <v>24502</v>
      </c>
    </row>
    <row r="20" spans="1:17" x14ac:dyDescent="0.25">
      <c r="A20" s="4" t="s">
        <v>5</v>
      </c>
      <c r="B20" s="66">
        <v>1962</v>
      </c>
      <c r="C20" s="1">
        <v>200</v>
      </c>
      <c r="D20" s="24">
        <v>170</v>
      </c>
      <c r="E20" s="26">
        <f t="shared" si="0"/>
        <v>11.541176470588235</v>
      </c>
      <c r="F20" s="86"/>
      <c r="G20" s="37">
        <f t="shared" si="1"/>
        <v>0.85</v>
      </c>
      <c r="H20" s="20">
        <v>5190</v>
      </c>
      <c r="I20" s="2">
        <v>202</v>
      </c>
      <c r="J20" s="5">
        <v>148</v>
      </c>
      <c r="K20" s="22">
        <f t="shared" si="4"/>
        <v>0.73267326732673266</v>
      </c>
      <c r="L20" s="26">
        <f t="shared" si="2"/>
        <v>35.067567567567565</v>
      </c>
      <c r="M20" s="82">
        <f>AVERAGE(L17:L22)</f>
        <v>21.279076527284257</v>
      </c>
      <c r="N20" s="7">
        <f t="shared" si="5"/>
        <v>1.5419847328244274</v>
      </c>
      <c r="O20" s="5">
        <v>131</v>
      </c>
      <c r="P20" s="74">
        <f t="shared" si="6"/>
        <v>29646</v>
      </c>
      <c r="Q20" s="1">
        <f t="shared" si="3"/>
        <v>29692</v>
      </c>
    </row>
    <row r="21" spans="1:17" x14ac:dyDescent="0.25">
      <c r="A21" s="4" t="s">
        <v>6</v>
      </c>
      <c r="B21" s="66">
        <v>1962</v>
      </c>
      <c r="C21" s="1">
        <v>223</v>
      </c>
      <c r="D21" s="24">
        <v>179</v>
      </c>
      <c r="E21" s="26">
        <f t="shared" si="0"/>
        <v>10.960893854748603</v>
      </c>
      <c r="F21" s="86"/>
      <c r="G21" s="37">
        <f t="shared" si="1"/>
        <v>0.80269058295964124</v>
      </c>
      <c r="H21" s="20">
        <v>2778</v>
      </c>
      <c r="I21" s="2">
        <v>223</v>
      </c>
      <c r="J21" s="5">
        <v>173</v>
      </c>
      <c r="K21" s="22">
        <f t="shared" si="4"/>
        <v>0.77578475336322872</v>
      </c>
      <c r="L21" s="26">
        <f t="shared" si="2"/>
        <v>16.057803468208093</v>
      </c>
      <c r="M21" s="81"/>
      <c r="N21" s="7">
        <f t="shared" si="5"/>
        <v>1.6518518518518519</v>
      </c>
      <c r="O21" s="5">
        <v>135</v>
      </c>
      <c r="P21" s="74">
        <f t="shared" si="6"/>
        <v>31608</v>
      </c>
      <c r="Q21" s="1">
        <f t="shared" si="3"/>
        <v>32470</v>
      </c>
    </row>
    <row r="22" spans="1:17" ht="15.75" thickBot="1" x14ac:dyDescent="0.3">
      <c r="A22" s="8" t="s">
        <v>7</v>
      </c>
      <c r="B22" s="16">
        <v>1961</v>
      </c>
      <c r="C22" s="8">
        <v>258</v>
      </c>
      <c r="D22" s="27">
        <v>147</v>
      </c>
      <c r="E22" s="27">
        <f t="shared" si="0"/>
        <v>13.34013605442177</v>
      </c>
      <c r="F22" s="88"/>
      <c r="G22" s="61">
        <f t="shared" si="1"/>
        <v>0.56976744186046513</v>
      </c>
      <c r="H22" s="16">
        <v>2423</v>
      </c>
      <c r="I22" s="8">
        <v>216</v>
      </c>
      <c r="J22" s="28">
        <v>172</v>
      </c>
      <c r="K22" s="29">
        <f t="shared" si="4"/>
        <v>0.79629629629629628</v>
      </c>
      <c r="L22" s="84">
        <f t="shared" si="2"/>
        <v>14.087209302325581</v>
      </c>
      <c r="M22" s="83"/>
      <c r="N22" s="10">
        <f t="shared" si="5"/>
        <v>1.5652173913043479</v>
      </c>
      <c r="O22" s="9">
        <v>138</v>
      </c>
      <c r="P22" s="74">
        <f t="shared" si="6"/>
        <v>33569</v>
      </c>
      <c r="Q22" s="1">
        <f t="shared" si="3"/>
        <v>34893</v>
      </c>
    </row>
    <row r="23" spans="1:17" x14ac:dyDescent="0.25">
      <c r="A23" s="2" t="s">
        <v>8</v>
      </c>
      <c r="B23" s="66">
        <v>1962</v>
      </c>
      <c r="C23" s="1">
        <v>278</v>
      </c>
      <c r="D23" s="24">
        <v>235</v>
      </c>
      <c r="E23" s="26">
        <f t="shared" si="0"/>
        <v>8.3489361702127667</v>
      </c>
      <c r="F23" s="86" t="s">
        <v>15</v>
      </c>
      <c r="G23" s="37">
        <f t="shared" si="1"/>
        <v>0.84532374100719421</v>
      </c>
      <c r="H23" s="20">
        <v>3010</v>
      </c>
      <c r="I23" s="2">
        <v>224</v>
      </c>
      <c r="J23" s="5">
        <v>185</v>
      </c>
      <c r="K23" s="22">
        <f t="shared" si="4"/>
        <v>0.8258928571428571</v>
      </c>
      <c r="L23" s="26">
        <f t="shared" si="2"/>
        <v>16.27027027027027</v>
      </c>
      <c r="M23" s="81"/>
      <c r="N23" s="7">
        <f t="shared" si="5"/>
        <v>1.4933333333333334</v>
      </c>
      <c r="O23" s="1">
        <v>150</v>
      </c>
      <c r="P23" s="74">
        <f t="shared" si="6"/>
        <v>35531</v>
      </c>
      <c r="Q23" s="1">
        <f t="shared" si="3"/>
        <v>37903</v>
      </c>
    </row>
    <row r="24" spans="1:17" x14ac:dyDescent="0.25">
      <c r="A24" s="2" t="s">
        <v>9</v>
      </c>
      <c r="B24" s="66">
        <v>1961</v>
      </c>
      <c r="C24" s="2">
        <v>322</v>
      </c>
      <c r="D24" s="24">
        <v>285</v>
      </c>
      <c r="E24" s="26">
        <f t="shared" si="0"/>
        <v>6.8807017543859645</v>
      </c>
      <c r="F24" s="86"/>
      <c r="G24" s="37">
        <f t="shared" si="1"/>
        <v>0.8850931677018633</v>
      </c>
      <c r="H24" s="20">
        <v>3586</v>
      </c>
      <c r="I24" s="2">
        <v>230</v>
      </c>
      <c r="J24" s="5">
        <v>191</v>
      </c>
      <c r="K24" s="22">
        <f t="shared" si="4"/>
        <v>0.83043478260869563</v>
      </c>
      <c r="L24" s="26">
        <f t="shared" si="2"/>
        <v>18.774869109947645</v>
      </c>
      <c r="M24" s="81"/>
      <c r="N24" s="7">
        <f t="shared" si="5"/>
        <v>1.5231788079470199</v>
      </c>
      <c r="O24" s="1">
        <v>151</v>
      </c>
      <c r="P24" s="74">
        <f t="shared" si="6"/>
        <v>37492</v>
      </c>
      <c r="Q24" s="1">
        <f t="shared" si="3"/>
        <v>41489</v>
      </c>
    </row>
    <row r="25" spans="1:17" x14ac:dyDescent="0.25">
      <c r="A25" s="2" t="s">
        <v>10</v>
      </c>
      <c r="B25" s="66">
        <v>1962</v>
      </c>
      <c r="C25" s="2">
        <v>322</v>
      </c>
      <c r="D25" s="24">
        <v>262</v>
      </c>
      <c r="E25" s="26">
        <f t="shared" si="0"/>
        <v>7.4885496183206106</v>
      </c>
      <c r="F25" s="86"/>
      <c r="G25" s="37">
        <f t="shared" si="1"/>
        <v>0.81366459627329191</v>
      </c>
      <c r="H25" s="20">
        <v>4320</v>
      </c>
      <c r="I25" s="2">
        <v>237</v>
      </c>
      <c r="J25" s="5">
        <v>194</v>
      </c>
      <c r="K25" s="22">
        <f t="shared" si="4"/>
        <v>0.81856540084388185</v>
      </c>
      <c r="L25" s="26">
        <f t="shared" si="2"/>
        <v>22.268041237113401</v>
      </c>
      <c r="M25" s="81"/>
      <c r="N25" s="7">
        <f t="shared" si="5"/>
        <v>1.4539877300613497</v>
      </c>
      <c r="O25" s="1">
        <v>163</v>
      </c>
      <c r="P25" s="74">
        <f t="shared" si="6"/>
        <v>39454</v>
      </c>
      <c r="Q25" s="1">
        <f t="shared" si="3"/>
        <v>45809</v>
      </c>
    </row>
    <row r="26" spans="1:17" x14ac:dyDescent="0.25">
      <c r="A26" s="2" t="s">
        <v>0</v>
      </c>
      <c r="B26" s="66">
        <v>1961</v>
      </c>
      <c r="C26" s="2">
        <v>322</v>
      </c>
      <c r="D26" s="24">
        <v>247</v>
      </c>
      <c r="E26" s="26">
        <f t="shared" si="0"/>
        <v>7.9392712550607287</v>
      </c>
      <c r="F26" s="86"/>
      <c r="G26" s="37">
        <f t="shared" si="1"/>
        <v>0.76708074534161486</v>
      </c>
      <c r="H26" s="20">
        <v>2635</v>
      </c>
      <c r="I26" s="2">
        <v>248</v>
      </c>
      <c r="J26" s="5">
        <v>196</v>
      </c>
      <c r="K26" s="22">
        <f t="shared" si="4"/>
        <v>0.79032258064516125</v>
      </c>
      <c r="L26" s="26">
        <f t="shared" si="2"/>
        <v>13.443877551020408</v>
      </c>
      <c r="M26" s="81"/>
      <c r="N26" s="7">
        <f t="shared" si="5"/>
        <v>1.5030303030303029</v>
      </c>
      <c r="O26" s="1">
        <v>165</v>
      </c>
      <c r="P26" s="74">
        <f t="shared" si="6"/>
        <v>41415</v>
      </c>
      <c r="Q26" s="1">
        <f t="shared" si="3"/>
        <v>48444</v>
      </c>
    </row>
    <row r="27" spans="1:17" x14ac:dyDescent="0.25">
      <c r="A27" s="2" t="s">
        <v>1</v>
      </c>
      <c r="B27" s="66">
        <v>1962</v>
      </c>
      <c r="C27" s="2">
        <v>312</v>
      </c>
      <c r="D27" s="24">
        <v>222</v>
      </c>
      <c r="E27" s="26">
        <f t="shared" si="0"/>
        <v>8.8378378378378386</v>
      </c>
      <c r="F27" s="86"/>
      <c r="G27" s="37">
        <f t="shared" si="1"/>
        <v>0.71153846153846156</v>
      </c>
      <c r="H27" s="11">
        <v>3418</v>
      </c>
      <c r="I27" s="2">
        <v>256</v>
      </c>
      <c r="J27" s="5">
        <v>196</v>
      </c>
      <c r="K27" s="22">
        <f t="shared" si="4"/>
        <v>0.765625</v>
      </c>
      <c r="L27" s="26">
        <f t="shared" si="2"/>
        <v>17.438775510204081</v>
      </c>
      <c r="M27" s="81"/>
      <c r="N27" s="7">
        <f t="shared" si="5"/>
        <v>1.5900621118012421</v>
      </c>
      <c r="O27" s="1">
        <v>161</v>
      </c>
      <c r="P27" s="74">
        <f t="shared" si="6"/>
        <v>43377</v>
      </c>
      <c r="Q27" s="1">
        <f t="shared" si="3"/>
        <v>51862</v>
      </c>
    </row>
    <row r="28" spans="1:17" x14ac:dyDescent="0.25">
      <c r="A28" s="2" t="s">
        <v>20</v>
      </c>
      <c r="B28" s="11">
        <v>2593</v>
      </c>
      <c r="C28" s="2">
        <v>312</v>
      </c>
      <c r="D28" s="24">
        <v>202</v>
      </c>
      <c r="E28" s="26">
        <f t="shared" si="0"/>
        <v>12.836633663366337</v>
      </c>
      <c r="F28" s="87">
        <f>AVERAGE(E23:E34)</f>
        <v>11.064670548988735</v>
      </c>
      <c r="G28" s="37">
        <f t="shared" si="1"/>
        <v>0.64743589743589747</v>
      </c>
      <c r="H28" s="11">
        <v>3429</v>
      </c>
      <c r="I28" s="2">
        <v>307</v>
      </c>
      <c r="J28" s="5">
        <v>218</v>
      </c>
      <c r="K28" s="22">
        <f t="shared" si="4"/>
        <v>0.71009771986970682</v>
      </c>
      <c r="L28" s="26">
        <f t="shared" si="2"/>
        <v>15.729357798165138</v>
      </c>
      <c r="M28" s="82">
        <f>AVERAGE(L23:L34)</f>
        <v>16.193374676656383</v>
      </c>
      <c r="N28" s="7">
        <f t="shared" si="5"/>
        <v>1.8834355828220859</v>
      </c>
      <c r="O28" s="1">
        <v>163</v>
      </c>
      <c r="P28" s="74">
        <f t="shared" si="6"/>
        <v>45970</v>
      </c>
      <c r="Q28" s="1">
        <f t="shared" si="3"/>
        <v>55291</v>
      </c>
    </row>
    <row r="29" spans="1:17" ht="18" customHeight="1" x14ac:dyDescent="0.25">
      <c r="A29" s="2" t="s">
        <v>2</v>
      </c>
      <c r="B29" s="11">
        <v>2593</v>
      </c>
      <c r="C29" s="2">
        <v>312</v>
      </c>
      <c r="D29" s="24">
        <v>199</v>
      </c>
      <c r="E29" s="26">
        <f t="shared" si="0"/>
        <v>13.030150753768844</v>
      </c>
      <c r="F29" s="86"/>
      <c r="G29" s="37">
        <f t="shared" si="1"/>
        <v>0.63782051282051277</v>
      </c>
      <c r="H29" s="11">
        <v>2652</v>
      </c>
      <c r="I29" s="2">
        <v>423</v>
      </c>
      <c r="J29" s="5">
        <v>247</v>
      </c>
      <c r="K29" s="22">
        <f t="shared" si="4"/>
        <v>0.58392434988179664</v>
      </c>
      <c r="L29" s="26">
        <f t="shared" si="2"/>
        <v>10.736842105263158</v>
      </c>
      <c r="M29" s="81"/>
      <c r="N29" s="7">
        <f t="shared" si="5"/>
        <v>2.3631284916201118</v>
      </c>
      <c r="O29" s="1">
        <v>179</v>
      </c>
      <c r="P29" s="74">
        <f t="shared" si="6"/>
        <v>48563</v>
      </c>
      <c r="Q29" s="1">
        <f t="shared" si="3"/>
        <v>57943</v>
      </c>
    </row>
    <row r="30" spans="1:17" x14ac:dyDescent="0.25">
      <c r="A30" s="2" t="s">
        <v>3</v>
      </c>
      <c r="B30" s="11">
        <v>2593</v>
      </c>
      <c r="C30" s="2">
        <v>312</v>
      </c>
      <c r="D30" s="24">
        <v>197</v>
      </c>
      <c r="E30" s="26">
        <f t="shared" si="0"/>
        <v>13.162436548223351</v>
      </c>
      <c r="F30" s="86"/>
      <c r="G30" s="37">
        <f t="shared" si="1"/>
        <v>0.63141025641025639</v>
      </c>
      <c r="H30" s="11">
        <v>3632</v>
      </c>
      <c r="I30" s="2">
        <v>441</v>
      </c>
      <c r="J30" s="5">
        <v>226</v>
      </c>
      <c r="K30" s="22">
        <f t="shared" si="4"/>
        <v>0.51247165532879824</v>
      </c>
      <c r="L30" s="26">
        <f t="shared" si="2"/>
        <v>16.070796460176989</v>
      </c>
      <c r="M30" s="81"/>
      <c r="N30" s="7">
        <f t="shared" si="5"/>
        <v>1.96875</v>
      </c>
      <c r="O30" s="1">
        <v>224</v>
      </c>
      <c r="P30" s="74">
        <f t="shared" si="6"/>
        <v>51156</v>
      </c>
      <c r="Q30" s="1">
        <f t="shared" si="3"/>
        <v>61575</v>
      </c>
    </row>
    <row r="31" spans="1:17" x14ac:dyDescent="0.25">
      <c r="A31" s="2" t="s">
        <v>4</v>
      </c>
      <c r="B31" s="11">
        <v>2593</v>
      </c>
      <c r="C31" s="1">
        <v>312</v>
      </c>
      <c r="D31" s="24">
        <v>195</v>
      </c>
      <c r="E31" s="26">
        <f t="shared" si="0"/>
        <v>13.297435897435898</v>
      </c>
      <c r="F31" s="86"/>
      <c r="G31" s="37">
        <f t="shared" si="1"/>
        <v>0.625</v>
      </c>
      <c r="H31" s="11">
        <v>5346</v>
      </c>
      <c r="I31" s="2">
        <v>528</v>
      </c>
      <c r="J31" s="5">
        <v>347</v>
      </c>
      <c r="K31" s="22">
        <f t="shared" si="4"/>
        <v>0.65719696969696972</v>
      </c>
      <c r="L31" s="26">
        <f t="shared" si="2"/>
        <v>15.406340057636887</v>
      </c>
      <c r="M31" s="81"/>
      <c r="N31" s="7">
        <f t="shared" si="5"/>
        <v>1.9924528301886792</v>
      </c>
      <c r="O31" s="1">
        <v>265</v>
      </c>
      <c r="P31" s="74">
        <f t="shared" si="6"/>
        <v>53749</v>
      </c>
      <c r="Q31" s="1">
        <f t="shared" si="3"/>
        <v>66921</v>
      </c>
    </row>
    <row r="32" spans="1:17" x14ac:dyDescent="0.25">
      <c r="A32" s="2" t="s">
        <v>5</v>
      </c>
      <c r="B32" s="11">
        <v>2594</v>
      </c>
      <c r="C32" s="1">
        <v>312</v>
      </c>
      <c r="D32" s="24">
        <v>193</v>
      </c>
      <c r="E32" s="26">
        <f t="shared" si="0"/>
        <v>13.440414507772021</v>
      </c>
      <c r="F32" s="86"/>
      <c r="G32" s="37">
        <f t="shared" si="1"/>
        <v>0.61858974358974361</v>
      </c>
      <c r="H32" s="11">
        <v>6721</v>
      </c>
      <c r="I32" s="2">
        <v>576</v>
      </c>
      <c r="J32" s="5">
        <v>459</v>
      </c>
      <c r="K32" s="22">
        <f t="shared" si="4"/>
        <v>0.796875</v>
      </c>
      <c r="L32" s="26">
        <f t="shared" si="2"/>
        <v>14.642701525054466</v>
      </c>
      <c r="M32" s="81"/>
      <c r="N32" s="7">
        <f t="shared" si="5"/>
        <v>2.0794223826714799</v>
      </c>
      <c r="O32" s="1">
        <v>277</v>
      </c>
      <c r="P32" s="74">
        <f t="shared" si="6"/>
        <v>56343</v>
      </c>
      <c r="Q32" s="1">
        <f t="shared" si="3"/>
        <v>73642</v>
      </c>
    </row>
    <row r="33" spans="1:17" x14ac:dyDescent="0.25">
      <c r="A33" s="2" t="s">
        <v>6</v>
      </c>
      <c r="B33" s="11">
        <v>2593</v>
      </c>
      <c r="C33" s="1">
        <v>312</v>
      </c>
      <c r="D33" s="24">
        <v>190</v>
      </c>
      <c r="E33" s="26">
        <f t="shared" si="0"/>
        <v>13.647368421052631</v>
      </c>
      <c r="F33" s="86"/>
      <c r="G33" s="37">
        <f t="shared" si="1"/>
        <v>0.60897435897435892</v>
      </c>
      <c r="H33" s="11">
        <v>7696</v>
      </c>
      <c r="I33" s="2">
        <v>535</v>
      </c>
      <c r="J33" s="5">
        <v>408</v>
      </c>
      <c r="K33" s="22">
        <f t="shared" si="4"/>
        <v>0.76261682242990658</v>
      </c>
      <c r="L33" s="26">
        <f t="shared" si="2"/>
        <v>18.862745098039216</v>
      </c>
      <c r="M33" s="81"/>
      <c r="N33" s="7">
        <f t="shared" si="5"/>
        <v>1.9597069597069596</v>
      </c>
      <c r="O33" s="1">
        <v>273</v>
      </c>
      <c r="P33" s="74">
        <f>P32+B33</f>
        <v>58936</v>
      </c>
      <c r="Q33" s="1">
        <f t="shared" si="3"/>
        <v>81338</v>
      </c>
    </row>
    <row r="34" spans="1:17" ht="15.75" thickBot="1" x14ac:dyDescent="0.3">
      <c r="A34" s="8" t="s">
        <v>7</v>
      </c>
      <c r="B34" s="16">
        <v>2593</v>
      </c>
      <c r="C34" s="8">
        <v>312</v>
      </c>
      <c r="D34" s="27">
        <v>187</v>
      </c>
      <c r="E34" s="27">
        <f t="shared" si="0"/>
        <v>13.866310160427808</v>
      </c>
      <c r="F34" s="88" t="s">
        <v>35</v>
      </c>
      <c r="G34" s="61">
        <f t="shared" si="1"/>
        <v>0.59935897435897434</v>
      </c>
      <c r="H34" s="16">
        <v>5841</v>
      </c>
      <c r="I34" s="8">
        <v>489</v>
      </c>
      <c r="J34" s="28">
        <v>398</v>
      </c>
      <c r="K34" s="29">
        <f t="shared" si="4"/>
        <v>0.81390593047034765</v>
      </c>
      <c r="L34" s="84">
        <f t="shared" si="2"/>
        <v>14.675879396984925</v>
      </c>
      <c r="M34" s="83"/>
      <c r="N34" s="10">
        <f t="shared" si="5"/>
        <v>1.6464646464646464</v>
      </c>
      <c r="O34" s="9">
        <v>297</v>
      </c>
      <c r="P34" s="74">
        <f t="shared" si="6"/>
        <v>61529</v>
      </c>
      <c r="Q34" s="1">
        <f t="shared" si="3"/>
        <v>87179</v>
      </c>
    </row>
    <row r="35" spans="1:17" x14ac:dyDescent="0.25">
      <c r="B35" s="31" t="s">
        <v>21</v>
      </c>
      <c r="D35" s="6"/>
      <c r="E35" s="38" t="s">
        <v>27</v>
      </c>
      <c r="F35" s="38" t="s">
        <v>27</v>
      </c>
      <c r="G35" s="38" t="s">
        <v>27</v>
      </c>
      <c r="H35" s="31" t="s">
        <v>21</v>
      </c>
      <c r="I35"/>
      <c r="J35" s="13"/>
      <c r="K35" s="38" t="s">
        <v>27</v>
      </c>
      <c r="L35" s="38" t="s">
        <v>27</v>
      </c>
      <c r="M35" s="38" t="s">
        <v>27</v>
      </c>
      <c r="N35" s="38" t="s">
        <v>27</v>
      </c>
    </row>
    <row r="36" spans="1:17" x14ac:dyDescent="0.25">
      <c r="B36" s="32">
        <f>SUM(B2:B34)</f>
        <v>61529</v>
      </c>
      <c r="C36" s="32"/>
      <c r="E36" s="34">
        <f>AVERAGE(E2:E34)</f>
        <v>12.940939415880191</v>
      </c>
      <c r="F36" s="36">
        <f>AVERAGE(F4,F11,F19,F28)</f>
        <v>12.26830862038331</v>
      </c>
      <c r="G36" s="39">
        <f>AVERAGE(G2:G34)</f>
        <v>0.76476780607725492</v>
      </c>
      <c r="H36" s="32">
        <f>SUM(H2:H34)</f>
        <v>87179</v>
      </c>
      <c r="I36"/>
      <c r="J36" s="7"/>
      <c r="K36" s="39">
        <f>AVERAGE(K3:K34)</f>
        <v>0.80658104410304199</v>
      </c>
      <c r="L36" s="36">
        <f>AVERAGE(L3:L34)</f>
        <v>17.612365303875158</v>
      </c>
      <c r="M36" s="36">
        <f>AVERAGE(M2:M34)</f>
        <v>17.937845045673029</v>
      </c>
      <c r="N36" s="40">
        <f>AVERAGE(N3:N34)</f>
        <v>1.6275314304526571</v>
      </c>
    </row>
    <row r="37" spans="1:17" ht="15.75" thickBot="1" x14ac:dyDescent="0.3">
      <c r="A37" s="6"/>
      <c r="B37" s="6"/>
      <c r="C37" s="54"/>
      <c r="E37" s="6"/>
      <c r="F37" s="6"/>
      <c r="G37" s="6"/>
      <c r="H37" s="55"/>
      <c r="I37" s="5"/>
      <c r="J37" s="26"/>
      <c r="K37" s="56"/>
      <c r="L37" s="13"/>
      <c r="M37" s="5"/>
      <c r="N37" s="4"/>
      <c r="P37" s="11"/>
    </row>
    <row r="38" spans="1:17" ht="15.75" thickTop="1" x14ac:dyDescent="0.25">
      <c r="A38" s="98"/>
      <c r="B38" s="99"/>
      <c r="C38" s="108" t="s">
        <v>56</v>
      </c>
      <c r="D38" s="108" t="s">
        <v>57</v>
      </c>
      <c r="E38" s="100"/>
    </row>
    <row r="39" spans="1:17" ht="65.25" customHeight="1" x14ac:dyDescent="0.25">
      <c r="A39" s="109" t="s">
        <v>58</v>
      </c>
      <c r="B39" s="75" t="s">
        <v>49</v>
      </c>
      <c r="C39" s="75" t="s">
        <v>50</v>
      </c>
      <c r="D39" s="76" t="s">
        <v>51</v>
      </c>
      <c r="E39" s="101"/>
      <c r="G39" s="73"/>
      <c r="I39" s="72" t="s">
        <v>42</v>
      </c>
      <c r="J39" s="72" t="s">
        <v>54</v>
      </c>
      <c r="K39" s="72" t="s">
        <v>43</v>
      </c>
      <c r="L39" s="72" t="s">
        <v>36</v>
      </c>
      <c r="M39" s="72" t="s">
        <v>43</v>
      </c>
    </row>
    <row r="40" spans="1:17" ht="40.5" customHeight="1" x14ac:dyDescent="0.25">
      <c r="A40" s="102" t="s">
        <v>38</v>
      </c>
      <c r="B40" s="63">
        <v>25</v>
      </c>
      <c r="C40" s="91">
        <f>AVERAGE(E12:E16)</f>
        <v>25.712975956739022</v>
      </c>
      <c r="D40" s="63">
        <f>AVERAGE(L12:L16)</f>
        <v>17.033835792620174</v>
      </c>
      <c r="E40" s="101"/>
      <c r="I40" s="62">
        <v>1950</v>
      </c>
      <c r="J40" s="64">
        <v>1079</v>
      </c>
      <c r="K40" s="64">
        <f>J40</f>
        <v>1079</v>
      </c>
      <c r="L40" s="68">
        <f>SUM(B2:B3)</f>
        <v>1079</v>
      </c>
      <c r="M40" s="67">
        <f>L40</f>
        <v>1079</v>
      </c>
    </row>
    <row r="41" spans="1:17" ht="38.25" x14ac:dyDescent="0.25">
      <c r="A41" s="103" t="s">
        <v>39</v>
      </c>
      <c r="B41" s="63">
        <v>13</v>
      </c>
      <c r="C41" s="91">
        <f>AVERAGE(E17:E22)</f>
        <v>12.881396109869344</v>
      </c>
      <c r="D41" s="63">
        <f>AVERAGE(L17:L22)</f>
        <v>21.279076527284257</v>
      </c>
      <c r="E41" s="101"/>
      <c r="I41" s="62">
        <v>1951</v>
      </c>
      <c r="J41" s="64">
        <v>18759</v>
      </c>
      <c r="K41" s="64">
        <f>K40+J41</f>
        <v>19838</v>
      </c>
      <c r="L41" s="68">
        <f>SUM(B4:B15)</f>
        <v>18759</v>
      </c>
      <c r="M41" s="67">
        <f>M40+L41</f>
        <v>19838</v>
      </c>
    </row>
    <row r="42" spans="1:17" ht="49.5" customHeight="1" thickBot="1" x14ac:dyDescent="0.3">
      <c r="A42" s="104" t="s">
        <v>40</v>
      </c>
      <c r="B42" s="105">
        <v>10</v>
      </c>
      <c r="C42" s="106">
        <f>AVERAGE(E23:E27)</f>
        <v>7.8990593271635818</v>
      </c>
      <c r="D42" s="105">
        <f>AVERAGE(L23:L27)</f>
        <v>17.639166735711164</v>
      </c>
      <c r="E42" s="107"/>
      <c r="I42" s="62">
        <v>1952</v>
      </c>
      <c r="J42" s="64">
        <v>23539</v>
      </c>
      <c r="K42" s="64">
        <f t="shared" ref="K42:K43" si="7">K41+J42</f>
        <v>43377</v>
      </c>
      <c r="L42" s="68">
        <f>SUM(B16:B27)</f>
        <v>23539</v>
      </c>
      <c r="M42" s="67">
        <f>M41+L42</f>
        <v>43377</v>
      </c>
    </row>
    <row r="43" spans="1:17" ht="15.75" thickTop="1" x14ac:dyDescent="0.25">
      <c r="A43" s="54"/>
      <c r="B43" s="57"/>
      <c r="F43" s="12"/>
      <c r="I43" s="62">
        <v>1953</v>
      </c>
      <c r="J43" s="69">
        <v>18152</v>
      </c>
      <c r="K43" s="64">
        <f t="shared" si="7"/>
        <v>61529</v>
      </c>
      <c r="L43" s="68">
        <f>SUM(B28:B34)</f>
        <v>18152</v>
      </c>
      <c r="M43" s="67">
        <f>M42+L43</f>
        <v>61529</v>
      </c>
    </row>
    <row r="44" spans="1:17" x14ac:dyDescent="0.25">
      <c r="A44" s="54"/>
      <c r="B44" s="57"/>
      <c r="C44" s="5"/>
      <c r="E44" s="51"/>
      <c r="F44" s="58"/>
      <c r="G44" s="5"/>
      <c r="I44" s="5"/>
      <c r="J44" s="70">
        <f>SUM(J40:J43)</f>
        <v>61529</v>
      </c>
      <c r="K44" s="64"/>
      <c r="L44" s="68">
        <f>SUM(L40:L43)</f>
        <v>61529</v>
      </c>
      <c r="M44" s="5"/>
    </row>
    <row r="45" spans="1:17" x14ac:dyDescent="0.25">
      <c r="A45" s="54"/>
      <c r="B45" s="57"/>
      <c r="C45" s="21"/>
      <c r="G45" s="5"/>
      <c r="I45" s="5"/>
      <c r="J45" s="71"/>
      <c r="K45" s="21"/>
      <c r="L45" s="21"/>
      <c r="M45" s="21"/>
    </row>
    <row r="46" spans="1:17" ht="30" x14ac:dyDescent="0.25">
      <c r="A46" s="6"/>
      <c r="B46" s="6"/>
      <c r="C46" s="5"/>
      <c r="D46" s="59"/>
      <c r="E46" s="51"/>
      <c r="F46" s="58"/>
      <c r="G46" s="5"/>
      <c r="I46" s="5"/>
      <c r="J46" s="78" t="s">
        <v>44</v>
      </c>
      <c r="K46" s="78">
        <f>SUM(B2:B10)</f>
        <v>6690</v>
      </c>
      <c r="L46" s="26"/>
      <c r="M46" s="21"/>
    </row>
    <row r="47" spans="1:17" ht="30" x14ac:dyDescent="0.25">
      <c r="A47" s="54"/>
      <c r="B47" s="57"/>
      <c r="C47" s="5"/>
      <c r="D47" s="59"/>
      <c r="E47" s="51"/>
      <c r="F47" s="58"/>
      <c r="G47" s="5"/>
      <c r="H47" s="5"/>
      <c r="I47" s="5"/>
      <c r="J47" s="79" t="s">
        <v>37</v>
      </c>
      <c r="K47" s="78">
        <f>SUM(B2:B17)</f>
        <v>23761</v>
      </c>
      <c r="L47" s="26"/>
      <c r="M47" s="5"/>
    </row>
    <row r="48" spans="1:17" x14ac:dyDescent="0.25">
      <c r="A48" s="54"/>
      <c r="B48" s="57"/>
      <c r="C48" s="5"/>
      <c r="D48" s="59"/>
      <c r="E48" s="51"/>
      <c r="F48" s="51"/>
      <c r="G48" s="5"/>
      <c r="H48" s="5"/>
      <c r="M48" s="5"/>
      <c r="N48" s="13"/>
    </row>
    <row r="49" spans="1:14" x14ac:dyDescent="0.25">
      <c r="A49" s="6"/>
      <c r="B49" s="6"/>
      <c r="C49" s="5"/>
      <c r="D49" s="59"/>
      <c r="E49" s="51"/>
      <c r="F49" s="58"/>
      <c r="G49" s="5"/>
      <c r="H49" s="5"/>
      <c r="M49" s="26"/>
      <c r="N49" s="13"/>
    </row>
    <row r="50" spans="1:14" x14ac:dyDescent="0.25">
      <c r="A50" s="6"/>
      <c r="B50" s="6"/>
      <c r="C50" s="5"/>
      <c r="D50" s="59"/>
      <c r="E50" s="51"/>
      <c r="F50" s="58"/>
      <c r="G50" s="5"/>
      <c r="H50" s="5"/>
      <c r="N50" s="13"/>
    </row>
    <row r="51" spans="1:14" x14ac:dyDescent="0.25">
      <c r="A51" s="6"/>
      <c r="B51" s="6"/>
      <c r="C51" s="5"/>
      <c r="D51" s="59"/>
      <c r="E51" s="51"/>
      <c r="F51" s="58"/>
      <c r="G51" s="5"/>
      <c r="H51" s="5"/>
      <c r="N51" s="13"/>
    </row>
    <row r="52" spans="1:14" x14ac:dyDescent="0.25">
      <c r="A52" s="6"/>
      <c r="B52" s="6"/>
      <c r="C52" s="5"/>
      <c r="D52" s="54"/>
      <c r="E52" s="51"/>
      <c r="F52" s="58"/>
      <c r="G52" s="5"/>
      <c r="H52" s="5"/>
      <c r="N52" s="13"/>
    </row>
    <row r="53" spans="1:14" x14ac:dyDescent="0.25">
      <c r="A53" s="6"/>
      <c r="B53" s="6"/>
      <c r="C53" s="5"/>
      <c r="D53" s="6"/>
      <c r="E53" s="51"/>
      <c r="F53" s="58"/>
      <c r="G53" s="5"/>
      <c r="H53" s="5"/>
      <c r="I53" s="5"/>
      <c r="J53" s="6"/>
      <c r="K53" s="68"/>
    </row>
    <row r="54" spans="1:14" x14ac:dyDescent="0.25">
      <c r="A54" s="6"/>
      <c r="B54" s="6"/>
      <c r="C54" s="5"/>
      <c r="D54" s="6"/>
      <c r="E54" s="6"/>
      <c r="F54" s="60"/>
      <c r="G54" s="60"/>
      <c r="H54" s="5"/>
      <c r="I54" s="5"/>
      <c r="J54" s="6"/>
      <c r="K54" s="5"/>
    </row>
    <row r="55" spans="1:14" x14ac:dyDescent="0.25">
      <c r="A55" s="6"/>
      <c r="B55" s="6"/>
      <c r="C55" s="5"/>
      <c r="D55" s="6"/>
      <c r="E55" s="6"/>
      <c r="F55" s="6"/>
      <c r="G55" s="5"/>
      <c r="H55" s="5"/>
      <c r="I55" s="5"/>
      <c r="J55" s="6"/>
      <c r="K55" s="5"/>
    </row>
    <row r="56" spans="1:14" x14ac:dyDescent="0.25">
      <c r="C56" s="1"/>
      <c r="G56" s="1"/>
    </row>
    <row r="57" spans="1:14" x14ac:dyDescent="0.25">
      <c r="C57" s="1"/>
      <c r="G57" s="1"/>
    </row>
    <row r="58" spans="1:14" x14ac:dyDescent="0.25">
      <c r="C58" s="1"/>
      <c r="G58" s="1"/>
    </row>
    <row r="59" spans="1:14" x14ac:dyDescent="0.25">
      <c r="C59" s="1"/>
      <c r="G59" s="1"/>
    </row>
    <row r="60" spans="1:14" x14ac:dyDescent="0.25">
      <c r="C60" s="1"/>
      <c r="G60" s="1"/>
    </row>
    <row r="61" spans="1:14" x14ac:dyDescent="0.25">
      <c r="C61" s="1"/>
      <c r="G61" s="1"/>
    </row>
    <row r="62" spans="1:14" x14ac:dyDescent="0.25">
      <c r="C62" s="1"/>
      <c r="G62" s="1"/>
    </row>
    <row r="63" spans="1:14" x14ac:dyDescent="0.25">
      <c r="C63" s="1"/>
      <c r="G63" s="1"/>
    </row>
    <row r="64" spans="1:14" x14ac:dyDescent="0.25">
      <c r="C64" s="1"/>
      <c r="G64" s="1"/>
    </row>
    <row r="65" spans="3:7" x14ac:dyDescent="0.25">
      <c r="C65" s="1"/>
      <c r="G65" s="1"/>
    </row>
    <row r="66" spans="3:7" x14ac:dyDescent="0.25">
      <c r="C66" s="1"/>
    </row>
    <row r="67" spans="3:7" x14ac:dyDescent="0.25">
      <c r="C67" s="1"/>
    </row>
    <row r="68" spans="3:7" x14ac:dyDescent="0.25">
      <c r="C68" s="1"/>
    </row>
    <row r="69" spans="3:7" x14ac:dyDescent="0.25">
      <c r="C69" s="1"/>
    </row>
    <row r="70" spans="3:7" x14ac:dyDescent="0.25">
      <c r="C70" s="1"/>
    </row>
    <row r="71" spans="3:7" x14ac:dyDescent="0.25">
      <c r="C71" s="1"/>
    </row>
    <row r="72" spans="3:7" x14ac:dyDescent="0.25">
      <c r="C72" s="1"/>
    </row>
    <row r="73" spans="3:7" x14ac:dyDescent="0.25">
      <c r="C73" s="1"/>
    </row>
    <row r="74" spans="3:7" x14ac:dyDescent="0.25">
      <c r="C74" s="1"/>
    </row>
    <row r="75" spans="3:7" x14ac:dyDescent="0.25">
      <c r="C75" s="1"/>
    </row>
    <row r="76" spans="3:7" x14ac:dyDescent="0.25">
      <c r="C76" s="1"/>
    </row>
    <row r="77" spans="3:7" x14ac:dyDescent="0.25">
      <c r="C77" s="1"/>
    </row>
    <row r="78" spans="3:7" x14ac:dyDescent="0.25">
      <c r="C78" s="1"/>
    </row>
    <row r="79" spans="3:7" x14ac:dyDescent="0.25">
      <c r="C79" s="1"/>
    </row>
    <row r="80" spans="3:7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6"/>
  <sheetViews>
    <sheetView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1" max="1" width="21.28515625" customWidth="1"/>
    <col min="2" max="2" width="23.42578125" customWidth="1"/>
    <col min="3" max="3" width="22.42578125" customWidth="1"/>
    <col min="4" max="4" width="20.7109375" style="5" customWidth="1"/>
    <col min="5" max="5" width="19.28515625" customWidth="1"/>
    <col min="6" max="6" width="22.5703125" customWidth="1"/>
    <col min="7" max="7" width="13.28515625" customWidth="1"/>
    <col min="8" max="8" width="17.5703125" style="1" customWidth="1"/>
    <col min="9" max="9" width="19.85546875" style="1" customWidth="1"/>
    <col min="10" max="10" width="14.140625" customWidth="1"/>
    <col min="11" max="11" width="16.7109375" style="1" customWidth="1"/>
    <col min="12" max="12" width="16.7109375" style="5" customWidth="1"/>
    <col min="13" max="13" width="23.140625" style="1" customWidth="1"/>
    <col min="14" max="14" width="16.42578125" style="5" customWidth="1"/>
    <col min="15" max="15" width="23.140625" style="52" customWidth="1"/>
    <col min="16" max="16" width="11.140625" style="1" customWidth="1"/>
    <col min="17" max="17" width="12" style="1" customWidth="1"/>
  </cols>
  <sheetData>
    <row r="1" spans="1:18" ht="69.75" customHeight="1" x14ac:dyDescent="0.25">
      <c r="A1" s="110" t="s">
        <v>59</v>
      </c>
      <c r="B1" s="43" t="s">
        <v>26</v>
      </c>
      <c r="C1" s="44" t="s">
        <v>24</v>
      </c>
      <c r="D1" s="44" t="s">
        <v>25</v>
      </c>
      <c r="E1" s="41" t="s">
        <v>47</v>
      </c>
      <c r="F1" s="85" t="s">
        <v>55</v>
      </c>
      <c r="G1" s="46" t="s">
        <v>41</v>
      </c>
      <c r="H1" s="44" t="s">
        <v>22</v>
      </c>
      <c r="I1" s="44" t="s">
        <v>31</v>
      </c>
      <c r="J1" s="48" t="s">
        <v>67</v>
      </c>
      <c r="K1" s="47" t="s">
        <v>48</v>
      </c>
      <c r="L1" s="41" t="s">
        <v>52</v>
      </c>
      <c r="M1" s="80" t="s">
        <v>53</v>
      </c>
      <c r="N1" s="44" t="s">
        <v>16</v>
      </c>
      <c r="O1" s="49" t="s">
        <v>23</v>
      </c>
      <c r="P1" s="92" t="s">
        <v>45</v>
      </c>
      <c r="Q1" s="44" t="s">
        <v>46</v>
      </c>
      <c r="R1" s="3"/>
    </row>
    <row r="2" spans="1:18" x14ac:dyDescent="0.25">
      <c r="A2" s="2" t="s">
        <v>17</v>
      </c>
      <c r="B2" s="21">
        <v>402</v>
      </c>
      <c r="C2" s="1">
        <v>114</v>
      </c>
      <c r="D2" s="42">
        <f>C2*0.98</f>
        <v>111.72</v>
      </c>
      <c r="E2" s="26">
        <f t="shared" ref="E2:E34" si="0">B2/D2</f>
        <v>3.59828141783029</v>
      </c>
      <c r="F2" s="86" t="s">
        <v>12</v>
      </c>
      <c r="G2" s="37">
        <f>D2/C2</f>
        <v>0.98</v>
      </c>
      <c r="I2" s="2"/>
      <c r="J2" s="5"/>
      <c r="M2" s="77"/>
      <c r="N2" s="7"/>
      <c r="O2" s="94"/>
      <c r="P2" s="93">
        <f>B2</f>
        <v>402</v>
      </c>
      <c r="Q2" s="1">
        <v>0</v>
      </c>
    </row>
    <row r="3" spans="1:18" x14ac:dyDescent="0.25">
      <c r="A3" s="2" t="s">
        <v>1</v>
      </c>
      <c r="B3" s="21">
        <v>677</v>
      </c>
      <c r="C3" s="1">
        <v>64</v>
      </c>
      <c r="D3" s="24">
        <f>C3*0.98</f>
        <v>62.72</v>
      </c>
      <c r="E3" s="26">
        <f t="shared" si="0"/>
        <v>10.794005102040817</v>
      </c>
      <c r="F3" s="86"/>
      <c r="G3" s="37">
        <f t="shared" ref="G3:G34" si="1">D3/C3</f>
        <v>0.98</v>
      </c>
      <c r="H3" s="1">
        <v>236</v>
      </c>
      <c r="I3" s="2">
        <v>26</v>
      </c>
      <c r="J3" s="5">
        <v>26</v>
      </c>
      <c r="K3" s="22">
        <f>J3/I3</f>
        <v>1</v>
      </c>
      <c r="L3" s="26">
        <f t="shared" ref="L3:L34" si="2">H3/J3</f>
        <v>9.0769230769230766</v>
      </c>
      <c r="M3" s="81"/>
      <c r="N3" s="7">
        <f>I3/O3</f>
        <v>1.368421052631579</v>
      </c>
      <c r="O3" s="95">
        <v>19</v>
      </c>
      <c r="P3" s="93">
        <f>P2+B3</f>
        <v>1079</v>
      </c>
      <c r="Q3" s="1">
        <f>Q2+H3</f>
        <v>236</v>
      </c>
    </row>
    <row r="4" spans="1:18" x14ac:dyDescent="0.25">
      <c r="A4" s="2" t="s">
        <v>18</v>
      </c>
      <c r="B4" s="21">
        <v>519</v>
      </c>
      <c r="C4" s="1">
        <v>68</v>
      </c>
      <c r="D4" s="24">
        <f>C4*0.92</f>
        <v>62.56</v>
      </c>
      <c r="E4" s="26">
        <f t="shared" si="0"/>
        <v>8.2960358056265981</v>
      </c>
      <c r="F4" s="87">
        <f>AVERAGE(E2:E6)</f>
        <v>6.7645552214020626</v>
      </c>
      <c r="G4" s="37">
        <f t="shared" si="1"/>
        <v>0.92</v>
      </c>
      <c r="H4" s="5">
        <v>212</v>
      </c>
      <c r="I4" s="4">
        <v>6</v>
      </c>
      <c r="J4" s="5">
        <v>6</v>
      </c>
      <c r="K4" s="22">
        <f>J4/I4</f>
        <v>1</v>
      </c>
      <c r="L4" s="26">
        <f t="shared" si="2"/>
        <v>35.333333333333336</v>
      </c>
      <c r="M4" s="82">
        <f>AVERAGE(L3:L6)</f>
        <v>16.864759224515321</v>
      </c>
      <c r="N4" s="7">
        <f>I4/O4</f>
        <v>1.5</v>
      </c>
      <c r="O4" s="95">
        <v>4</v>
      </c>
      <c r="P4" s="93">
        <f>P3+B4</f>
        <v>1598</v>
      </c>
      <c r="Q4" s="1">
        <f t="shared" ref="Q4:Q34" si="3">Q3+H4</f>
        <v>448</v>
      </c>
    </row>
    <row r="5" spans="1:18" x14ac:dyDescent="0.25">
      <c r="A5" s="2" t="s">
        <v>2</v>
      </c>
      <c r="B5" s="21">
        <v>371</v>
      </c>
      <c r="C5" s="1">
        <v>68</v>
      </c>
      <c r="D5" s="24">
        <f>C5*0.98</f>
        <v>66.64</v>
      </c>
      <c r="E5" s="26">
        <f t="shared" si="0"/>
        <v>5.5672268907563023</v>
      </c>
      <c r="F5" s="86"/>
      <c r="G5" s="37">
        <f t="shared" si="1"/>
        <v>0.98</v>
      </c>
      <c r="H5" s="1">
        <v>1</v>
      </c>
      <c r="I5" s="2">
        <v>0</v>
      </c>
      <c r="J5" s="5">
        <v>1</v>
      </c>
      <c r="K5" s="22">
        <v>1</v>
      </c>
      <c r="L5" s="26">
        <f t="shared" si="2"/>
        <v>1</v>
      </c>
      <c r="M5" s="81"/>
      <c r="N5" s="7">
        <v>0</v>
      </c>
      <c r="O5" s="95">
        <v>0</v>
      </c>
      <c r="P5" s="93">
        <f>P4+B5</f>
        <v>1969</v>
      </c>
      <c r="Q5" s="1">
        <f t="shared" si="3"/>
        <v>449</v>
      </c>
    </row>
    <row r="6" spans="1:18" ht="15.75" thickBot="1" x14ac:dyDescent="0.3">
      <c r="A6" s="8" t="s">
        <v>3</v>
      </c>
      <c r="B6" s="65">
        <v>371</v>
      </c>
      <c r="C6" s="16">
        <v>68</v>
      </c>
      <c r="D6" s="16">
        <f>C6*0.98</f>
        <v>66.64</v>
      </c>
      <c r="E6" s="27">
        <f t="shared" si="0"/>
        <v>5.5672268907563023</v>
      </c>
      <c r="F6" s="88"/>
      <c r="G6" s="61">
        <f t="shared" si="1"/>
        <v>0.98</v>
      </c>
      <c r="H6" s="9">
        <v>904</v>
      </c>
      <c r="I6" s="8">
        <v>41</v>
      </c>
      <c r="J6" s="28">
        <v>41</v>
      </c>
      <c r="K6" s="29">
        <f t="shared" ref="K6:K34" si="4">J6/I6</f>
        <v>1</v>
      </c>
      <c r="L6" s="84">
        <f t="shared" si="2"/>
        <v>22.048780487804876</v>
      </c>
      <c r="M6" s="83"/>
      <c r="N6" s="10">
        <f t="shared" ref="N6:N34" si="5">I6/O6</f>
        <v>1.1081081081081081</v>
      </c>
      <c r="O6" s="96">
        <v>37</v>
      </c>
      <c r="P6" s="93">
        <f>P5+B6</f>
        <v>2340</v>
      </c>
      <c r="Q6" s="1">
        <f t="shared" si="3"/>
        <v>1353</v>
      </c>
    </row>
    <row r="7" spans="1:18" x14ac:dyDescent="0.25">
      <c r="A7" s="2" t="s">
        <v>4</v>
      </c>
      <c r="B7" s="21">
        <v>1088</v>
      </c>
      <c r="C7" s="1">
        <v>68</v>
      </c>
      <c r="D7" s="24">
        <f>C7*0.98</f>
        <v>66.64</v>
      </c>
      <c r="E7" s="26">
        <f t="shared" si="0"/>
        <v>16.326530612244898</v>
      </c>
      <c r="F7" s="86" t="s">
        <v>13</v>
      </c>
      <c r="G7" s="37">
        <f t="shared" si="1"/>
        <v>0.98</v>
      </c>
      <c r="H7" s="1">
        <v>1073</v>
      </c>
      <c r="I7" s="2">
        <v>58</v>
      </c>
      <c r="J7" s="5">
        <v>58</v>
      </c>
      <c r="K7" s="22">
        <f t="shared" si="4"/>
        <v>1</v>
      </c>
      <c r="L7" s="26">
        <f t="shared" si="2"/>
        <v>18.5</v>
      </c>
      <c r="M7" s="81"/>
      <c r="N7" s="7">
        <f t="shared" si="5"/>
        <v>1.2608695652173914</v>
      </c>
      <c r="O7" s="95">
        <v>46</v>
      </c>
      <c r="P7" s="93">
        <f t="shared" ref="P7:P34" si="6">P6+B7</f>
        <v>3428</v>
      </c>
      <c r="Q7" s="1">
        <f t="shared" si="3"/>
        <v>2426</v>
      </c>
    </row>
    <row r="8" spans="1:18" x14ac:dyDescent="0.25">
      <c r="A8" s="2" t="s">
        <v>5</v>
      </c>
      <c r="B8" s="21">
        <v>1087</v>
      </c>
      <c r="C8" s="1">
        <v>100</v>
      </c>
      <c r="D8" s="24">
        <f>(68*0.92)+(32*0.98)</f>
        <v>93.92</v>
      </c>
      <c r="E8" s="26">
        <f t="shared" si="0"/>
        <v>11.573679727427598</v>
      </c>
      <c r="F8" s="86"/>
      <c r="G8" s="37">
        <f t="shared" si="1"/>
        <v>0.93920000000000003</v>
      </c>
      <c r="H8" s="11">
        <v>1360</v>
      </c>
      <c r="I8" s="2">
        <v>57</v>
      </c>
      <c r="J8" s="5">
        <v>57</v>
      </c>
      <c r="K8" s="22">
        <f t="shared" si="4"/>
        <v>1</v>
      </c>
      <c r="L8" s="26">
        <f t="shared" si="2"/>
        <v>23.859649122807017</v>
      </c>
      <c r="M8" s="81"/>
      <c r="N8" s="7">
        <f t="shared" si="5"/>
        <v>1.2127659574468086</v>
      </c>
      <c r="O8" s="95">
        <v>47</v>
      </c>
      <c r="P8" s="93">
        <f t="shared" si="6"/>
        <v>4515</v>
      </c>
      <c r="Q8" s="1">
        <f t="shared" si="3"/>
        <v>3786</v>
      </c>
    </row>
    <row r="9" spans="1:18" x14ac:dyDescent="0.25">
      <c r="A9" s="2" t="s">
        <v>6</v>
      </c>
      <c r="B9" s="21">
        <v>1088</v>
      </c>
      <c r="C9" s="1">
        <v>168</v>
      </c>
      <c r="D9" s="24">
        <f>(68*0.85)+(100*0.92)</f>
        <v>149.80000000000001</v>
      </c>
      <c r="E9" s="26">
        <f t="shared" si="0"/>
        <v>7.2630173564752996</v>
      </c>
      <c r="F9" s="86"/>
      <c r="G9" s="37">
        <f t="shared" si="1"/>
        <v>0.89166666666666672</v>
      </c>
      <c r="H9" s="11">
        <v>1250</v>
      </c>
      <c r="I9" s="2">
        <v>59</v>
      </c>
      <c r="J9" s="5">
        <v>52</v>
      </c>
      <c r="K9" s="22">
        <f t="shared" si="4"/>
        <v>0.88135593220338981</v>
      </c>
      <c r="L9" s="26">
        <f t="shared" si="2"/>
        <v>24.03846153846154</v>
      </c>
      <c r="M9" s="81"/>
      <c r="N9" s="7">
        <f t="shared" si="5"/>
        <v>1.3409090909090908</v>
      </c>
      <c r="O9" s="95">
        <v>44</v>
      </c>
      <c r="P9" s="93">
        <f t="shared" si="6"/>
        <v>5603</v>
      </c>
      <c r="Q9" s="1">
        <f t="shared" si="3"/>
        <v>5036</v>
      </c>
    </row>
    <row r="10" spans="1:18" x14ac:dyDescent="0.25">
      <c r="A10" s="4" t="s">
        <v>7</v>
      </c>
      <c r="B10" s="21">
        <v>1087</v>
      </c>
      <c r="C10" s="1">
        <v>168</v>
      </c>
      <c r="D10" s="24">
        <f>(68*0.79)+(100*0.85)</f>
        <v>138.72</v>
      </c>
      <c r="E10" s="26">
        <f t="shared" si="0"/>
        <v>7.8359284890426757</v>
      </c>
      <c r="F10" s="86"/>
      <c r="G10" s="37">
        <f t="shared" si="1"/>
        <v>0.82571428571428573</v>
      </c>
      <c r="H10" s="11">
        <v>734</v>
      </c>
      <c r="I10" s="2">
        <v>88</v>
      </c>
      <c r="J10" s="5">
        <v>82</v>
      </c>
      <c r="K10" s="22">
        <f t="shared" si="4"/>
        <v>0.93181818181818177</v>
      </c>
      <c r="L10" s="26">
        <f t="shared" si="2"/>
        <v>8.9512195121951219</v>
      </c>
      <c r="M10" s="81"/>
      <c r="N10" s="7">
        <f t="shared" si="5"/>
        <v>2.1463414634146343</v>
      </c>
      <c r="O10" s="97">
        <v>41</v>
      </c>
      <c r="P10" s="93">
        <f t="shared" si="6"/>
        <v>6690</v>
      </c>
      <c r="Q10" s="1">
        <f t="shared" si="3"/>
        <v>5770</v>
      </c>
    </row>
    <row r="11" spans="1:18" ht="15.75" customHeight="1" x14ac:dyDescent="0.25">
      <c r="A11" s="4" t="s">
        <v>8</v>
      </c>
      <c r="B11" s="21">
        <v>1410</v>
      </c>
      <c r="C11" s="1">
        <v>168</v>
      </c>
      <c r="D11" s="24">
        <f>(68*0.7)+(100*0.79)</f>
        <v>126.6</v>
      </c>
      <c r="E11" s="26">
        <f t="shared" si="0"/>
        <v>11.13744075829384</v>
      </c>
      <c r="F11" s="87">
        <f>AVERAGE(E7:E16)</f>
        <v>18.270147672717943</v>
      </c>
      <c r="G11" s="37">
        <f t="shared" si="1"/>
        <v>0.75357142857142856</v>
      </c>
      <c r="H11" s="11">
        <v>940</v>
      </c>
      <c r="I11" s="2">
        <v>82</v>
      </c>
      <c r="J11" s="5">
        <v>69</v>
      </c>
      <c r="K11" s="22">
        <f t="shared" si="4"/>
        <v>0.84146341463414631</v>
      </c>
      <c r="L11" s="26">
        <f t="shared" si="2"/>
        <v>13.623188405797102</v>
      </c>
      <c r="M11" s="81"/>
      <c r="N11" s="7">
        <f t="shared" si="5"/>
        <v>2.1025641025641026</v>
      </c>
      <c r="O11" s="97">
        <v>39</v>
      </c>
      <c r="P11" s="93">
        <f t="shared" si="6"/>
        <v>8100</v>
      </c>
      <c r="Q11" s="1">
        <f t="shared" si="3"/>
        <v>6710</v>
      </c>
    </row>
    <row r="12" spans="1:18" x14ac:dyDescent="0.25">
      <c r="A12" s="4" t="s">
        <v>9</v>
      </c>
      <c r="B12" s="21">
        <v>2935</v>
      </c>
      <c r="C12" s="1">
        <v>168</v>
      </c>
      <c r="D12" s="24">
        <f>(68*0.6)+(100*0.7)</f>
        <v>110.8</v>
      </c>
      <c r="E12" s="26">
        <f t="shared" si="0"/>
        <v>26.489169675090253</v>
      </c>
      <c r="F12" s="86"/>
      <c r="G12" s="37">
        <f t="shared" si="1"/>
        <v>0.65952380952380951</v>
      </c>
      <c r="H12" s="11">
        <v>1119</v>
      </c>
      <c r="I12" s="2">
        <v>90</v>
      </c>
      <c r="J12" s="5">
        <v>75</v>
      </c>
      <c r="K12" s="22">
        <f t="shared" si="4"/>
        <v>0.83333333333333337</v>
      </c>
      <c r="L12" s="26">
        <f t="shared" si="2"/>
        <v>14.92</v>
      </c>
      <c r="M12" s="82">
        <f>AVERAGE(L7:L16)</f>
        <v>17.414169754236166</v>
      </c>
      <c r="N12" s="7">
        <f t="shared" si="5"/>
        <v>2.0454545454545454</v>
      </c>
      <c r="O12" s="97">
        <v>44</v>
      </c>
      <c r="P12" s="93">
        <f t="shared" si="6"/>
        <v>11035</v>
      </c>
      <c r="Q12" s="1">
        <f t="shared" si="3"/>
        <v>7829</v>
      </c>
    </row>
    <row r="13" spans="1:18" x14ac:dyDescent="0.25">
      <c r="A13" s="4" t="s">
        <v>10</v>
      </c>
      <c r="B13" s="21">
        <v>2934</v>
      </c>
      <c r="C13" s="1">
        <v>168</v>
      </c>
      <c r="D13" s="24">
        <f>(68*0.6)+(100*0.6)</f>
        <v>100.8</v>
      </c>
      <c r="E13" s="26">
        <f t="shared" si="0"/>
        <v>29.107142857142858</v>
      </c>
      <c r="F13" s="86"/>
      <c r="G13" s="37">
        <f t="shared" si="1"/>
        <v>0.6</v>
      </c>
      <c r="H13" s="11">
        <v>1622</v>
      </c>
      <c r="I13" s="2">
        <v>85</v>
      </c>
      <c r="J13" s="5">
        <v>62</v>
      </c>
      <c r="K13" s="22">
        <f t="shared" si="4"/>
        <v>0.72941176470588232</v>
      </c>
      <c r="L13" s="26">
        <f t="shared" si="2"/>
        <v>26.161290322580644</v>
      </c>
      <c r="M13" s="81"/>
      <c r="N13" s="7">
        <f t="shared" si="5"/>
        <v>2.0238095238095237</v>
      </c>
      <c r="O13" s="97">
        <v>42</v>
      </c>
      <c r="P13" s="93">
        <f t="shared" si="6"/>
        <v>13969</v>
      </c>
      <c r="Q13" s="1">
        <f t="shared" si="3"/>
        <v>9451</v>
      </c>
    </row>
    <row r="14" spans="1:18" x14ac:dyDescent="0.25">
      <c r="A14" s="4" t="s">
        <v>0</v>
      </c>
      <c r="B14" s="21">
        <v>2935</v>
      </c>
      <c r="C14" s="1">
        <v>168</v>
      </c>
      <c r="D14" s="24">
        <f>(68*0.6)+(100*0.6)</f>
        <v>100.8</v>
      </c>
      <c r="E14" s="26">
        <f t="shared" si="0"/>
        <v>29.117063492063494</v>
      </c>
      <c r="F14" s="89"/>
      <c r="G14" s="37">
        <f t="shared" si="1"/>
        <v>0.6</v>
      </c>
      <c r="H14" s="11">
        <v>1003</v>
      </c>
      <c r="I14" s="2">
        <v>116</v>
      </c>
      <c r="J14" s="5">
        <v>74</v>
      </c>
      <c r="K14" s="22">
        <f t="shared" si="4"/>
        <v>0.63793103448275867</v>
      </c>
      <c r="L14" s="26">
        <f t="shared" si="2"/>
        <v>13.554054054054054</v>
      </c>
      <c r="M14" s="81"/>
      <c r="N14" s="7">
        <f t="shared" si="5"/>
        <v>2.0714285714285716</v>
      </c>
      <c r="O14" s="97">
        <v>56</v>
      </c>
      <c r="P14" s="93">
        <f t="shared" si="6"/>
        <v>16904</v>
      </c>
      <c r="Q14" s="1">
        <f t="shared" si="3"/>
        <v>10454</v>
      </c>
    </row>
    <row r="15" spans="1:18" ht="17.25" customHeight="1" x14ac:dyDescent="0.25">
      <c r="A15" s="4" t="s">
        <v>1</v>
      </c>
      <c r="B15" s="21">
        <v>2934</v>
      </c>
      <c r="C15" s="1">
        <v>168</v>
      </c>
      <c r="D15" s="24">
        <f>(68*0.6)+(100*0.6)</f>
        <v>100.8</v>
      </c>
      <c r="E15" s="26">
        <f t="shared" si="0"/>
        <v>29.107142857142858</v>
      </c>
      <c r="F15" s="90"/>
      <c r="G15" s="37">
        <f t="shared" si="1"/>
        <v>0.6</v>
      </c>
      <c r="H15" s="11">
        <v>2066</v>
      </c>
      <c r="I15" s="2">
        <v>201</v>
      </c>
      <c r="J15" s="5">
        <v>133</v>
      </c>
      <c r="K15" s="22">
        <f t="shared" si="4"/>
        <v>0.6616915422885572</v>
      </c>
      <c r="L15" s="26">
        <f t="shared" si="2"/>
        <v>15.533834586466165</v>
      </c>
      <c r="M15" s="81"/>
      <c r="N15" s="7">
        <f t="shared" si="5"/>
        <v>1.5826771653543308</v>
      </c>
      <c r="O15" s="97">
        <v>127</v>
      </c>
      <c r="P15" s="93">
        <f t="shared" si="6"/>
        <v>19838</v>
      </c>
      <c r="Q15" s="1">
        <f t="shared" si="3"/>
        <v>12520</v>
      </c>
    </row>
    <row r="16" spans="1:18" ht="15.75" thickBot="1" x14ac:dyDescent="0.3">
      <c r="A16" s="8" t="s">
        <v>19</v>
      </c>
      <c r="B16" s="65">
        <v>1961</v>
      </c>
      <c r="C16" s="8">
        <v>202</v>
      </c>
      <c r="D16" s="16">
        <v>133</v>
      </c>
      <c r="E16" s="27">
        <f t="shared" si="0"/>
        <v>14.744360902255639</v>
      </c>
      <c r="F16" s="88"/>
      <c r="G16" s="61">
        <f t="shared" si="1"/>
        <v>0.65841584158415845</v>
      </c>
      <c r="H16" s="19">
        <v>2340</v>
      </c>
      <c r="I16" s="8">
        <v>217</v>
      </c>
      <c r="J16" s="28">
        <v>156</v>
      </c>
      <c r="K16" s="29">
        <f t="shared" si="4"/>
        <v>0.71889400921658986</v>
      </c>
      <c r="L16" s="84">
        <f t="shared" si="2"/>
        <v>15</v>
      </c>
      <c r="M16" s="83"/>
      <c r="N16" s="10">
        <f t="shared" si="5"/>
        <v>1.631578947368421</v>
      </c>
      <c r="O16" s="96">
        <v>133</v>
      </c>
      <c r="P16" s="93">
        <f t="shared" si="6"/>
        <v>21799</v>
      </c>
      <c r="Q16" s="1">
        <f t="shared" si="3"/>
        <v>14860</v>
      </c>
    </row>
    <row r="17" spans="1:17" x14ac:dyDescent="0.25">
      <c r="A17" s="4" t="s">
        <v>2</v>
      </c>
      <c r="B17" s="66">
        <v>1962</v>
      </c>
      <c r="C17" s="1">
        <v>218</v>
      </c>
      <c r="D17" s="26">
        <v>117</v>
      </c>
      <c r="E17" s="26">
        <f t="shared" si="0"/>
        <v>16.76923076923077</v>
      </c>
      <c r="F17" s="86" t="s">
        <v>14</v>
      </c>
      <c r="G17" s="37">
        <f t="shared" si="1"/>
        <v>0.53669724770642202</v>
      </c>
      <c r="H17" s="20">
        <v>2500</v>
      </c>
      <c r="I17" s="2">
        <v>210</v>
      </c>
      <c r="J17" s="5">
        <v>170</v>
      </c>
      <c r="K17" s="22">
        <f t="shared" si="4"/>
        <v>0.80952380952380953</v>
      </c>
      <c r="L17" s="26">
        <f t="shared" si="2"/>
        <v>14.705882352941176</v>
      </c>
      <c r="M17" s="81"/>
      <c r="N17" s="7">
        <f t="shared" si="5"/>
        <v>1.5789473684210527</v>
      </c>
      <c r="O17" s="5">
        <v>133</v>
      </c>
      <c r="P17" s="74">
        <f t="shared" si="6"/>
        <v>23761</v>
      </c>
      <c r="Q17" s="1">
        <f t="shared" si="3"/>
        <v>17360</v>
      </c>
    </row>
    <row r="18" spans="1:17" x14ac:dyDescent="0.25">
      <c r="A18" s="4" t="s">
        <v>3</v>
      </c>
      <c r="B18" s="66">
        <v>1961</v>
      </c>
      <c r="C18" s="1">
        <v>168</v>
      </c>
      <c r="D18" s="24">
        <v>161</v>
      </c>
      <c r="E18" s="26">
        <f t="shared" si="0"/>
        <v>12.180124223602485</v>
      </c>
      <c r="F18" s="90"/>
      <c r="G18" s="37">
        <f t="shared" si="1"/>
        <v>0.95833333333333337</v>
      </c>
      <c r="H18" s="20">
        <v>3359</v>
      </c>
      <c r="I18" s="2">
        <v>201</v>
      </c>
      <c r="J18" s="5">
        <v>162</v>
      </c>
      <c r="K18" s="22">
        <f t="shared" si="4"/>
        <v>0.80597014925373134</v>
      </c>
      <c r="L18" s="26">
        <f t="shared" si="2"/>
        <v>20.734567901234566</v>
      </c>
      <c r="M18" s="81"/>
      <c r="N18" s="7">
        <f t="shared" si="5"/>
        <v>1.5112781954887218</v>
      </c>
      <c r="O18" s="5">
        <v>133</v>
      </c>
      <c r="P18" s="74">
        <f t="shared" si="6"/>
        <v>25722</v>
      </c>
      <c r="Q18" s="1">
        <f t="shared" si="3"/>
        <v>20719</v>
      </c>
    </row>
    <row r="19" spans="1:17" x14ac:dyDescent="0.25">
      <c r="A19" s="4" t="s">
        <v>4</v>
      </c>
      <c r="B19" s="66">
        <v>1962</v>
      </c>
      <c r="C19" s="1">
        <v>176</v>
      </c>
      <c r="D19" s="26">
        <v>157</v>
      </c>
      <c r="E19" s="26">
        <f t="shared" si="0"/>
        <v>12.496815286624203</v>
      </c>
      <c r="F19" s="87">
        <f>AVERAGE(E17:E22)</f>
        <v>12.881396109869344</v>
      </c>
      <c r="G19" s="37">
        <f t="shared" si="1"/>
        <v>0.89204545454545459</v>
      </c>
      <c r="H19" s="20">
        <v>3783</v>
      </c>
      <c r="I19" s="2">
        <v>178</v>
      </c>
      <c r="J19" s="5">
        <v>140</v>
      </c>
      <c r="K19" s="22">
        <f t="shared" si="4"/>
        <v>0.7865168539325843</v>
      </c>
      <c r="L19" s="26">
        <f t="shared" si="2"/>
        <v>27.021428571428572</v>
      </c>
      <c r="M19" s="81"/>
      <c r="N19" s="7">
        <f t="shared" si="5"/>
        <v>1.3798449612403101</v>
      </c>
      <c r="O19" s="5">
        <v>129</v>
      </c>
      <c r="P19" s="74">
        <f t="shared" si="6"/>
        <v>27684</v>
      </c>
      <c r="Q19" s="1">
        <f t="shared" si="3"/>
        <v>24502</v>
      </c>
    </row>
    <row r="20" spans="1:17" x14ac:dyDescent="0.25">
      <c r="A20" s="4" t="s">
        <v>5</v>
      </c>
      <c r="B20" s="66">
        <v>1962</v>
      </c>
      <c r="C20" s="1">
        <v>200</v>
      </c>
      <c r="D20" s="24">
        <v>170</v>
      </c>
      <c r="E20" s="26">
        <f t="shared" si="0"/>
        <v>11.541176470588235</v>
      </c>
      <c r="F20" s="86"/>
      <c r="G20" s="37">
        <f t="shared" si="1"/>
        <v>0.85</v>
      </c>
      <c r="H20" s="20">
        <v>5190</v>
      </c>
      <c r="I20" s="2">
        <v>202</v>
      </c>
      <c r="J20" s="5">
        <v>148</v>
      </c>
      <c r="K20" s="22">
        <f t="shared" si="4"/>
        <v>0.73267326732673266</v>
      </c>
      <c r="L20" s="26">
        <f t="shared" si="2"/>
        <v>35.067567567567565</v>
      </c>
      <c r="M20" s="82">
        <f>AVERAGE(L17:L22)</f>
        <v>21.279076527284257</v>
      </c>
      <c r="N20" s="7">
        <f t="shared" si="5"/>
        <v>1.5419847328244274</v>
      </c>
      <c r="O20" s="5">
        <v>131</v>
      </c>
      <c r="P20" s="74">
        <f t="shared" si="6"/>
        <v>29646</v>
      </c>
      <c r="Q20" s="1">
        <f t="shared" si="3"/>
        <v>29692</v>
      </c>
    </row>
    <row r="21" spans="1:17" x14ac:dyDescent="0.25">
      <c r="A21" s="4" t="s">
        <v>6</v>
      </c>
      <c r="B21" s="66">
        <v>1962</v>
      </c>
      <c r="C21" s="1">
        <v>223</v>
      </c>
      <c r="D21" s="24">
        <v>179</v>
      </c>
      <c r="E21" s="26">
        <f t="shared" si="0"/>
        <v>10.960893854748603</v>
      </c>
      <c r="F21" s="86"/>
      <c r="G21" s="37">
        <f t="shared" si="1"/>
        <v>0.80269058295964124</v>
      </c>
      <c r="H21" s="20">
        <v>2778</v>
      </c>
      <c r="I21" s="2">
        <v>223</v>
      </c>
      <c r="J21" s="5">
        <v>173</v>
      </c>
      <c r="K21" s="22">
        <f t="shared" si="4"/>
        <v>0.77578475336322872</v>
      </c>
      <c r="L21" s="26">
        <f t="shared" si="2"/>
        <v>16.057803468208093</v>
      </c>
      <c r="M21" s="81"/>
      <c r="N21" s="7">
        <f t="shared" si="5"/>
        <v>1.6518518518518519</v>
      </c>
      <c r="O21" s="5">
        <v>135</v>
      </c>
      <c r="P21" s="74">
        <f t="shared" si="6"/>
        <v>31608</v>
      </c>
      <c r="Q21" s="1">
        <f t="shared" si="3"/>
        <v>32470</v>
      </c>
    </row>
    <row r="22" spans="1:17" ht="15.75" thickBot="1" x14ac:dyDescent="0.3">
      <c r="A22" s="8" t="s">
        <v>7</v>
      </c>
      <c r="B22" s="16">
        <v>1961</v>
      </c>
      <c r="C22" s="8">
        <v>258</v>
      </c>
      <c r="D22" s="27">
        <v>147</v>
      </c>
      <c r="E22" s="27">
        <f t="shared" si="0"/>
        <v>13.34013605442177</v>
      </c>
      <c r="F22" s="88"/>
      <c r="G22" s="61">
        <f t="shared" si="1"/>
        <v>0.56976744186046513</v>
      </c>
      <c r="H22" s="16">
        <v>2423</v>
      </c>
      <c r="I22" s="8">
        <v>216</v>
      </c>
      <c r="J22" s="28">
        <v>172</v>
      </c>
      <c r="K22" s="29">
        <f t="shared" si="4"/>
        <v>0.79629629629629628</v>
      </c>
      <c r="L22" s="84">
        <f t="shared" si="2"/>
        <v>14.087209302325581</v>
      </c>
      <c r="M22" s="83"/>
      <c r="N22" s="10">
        <f t="shared" si="5"/>
        <v>1.5652173913043479</v>
      </c>
      <c r="O22" s="9">
        <v>138</v>
      </c>
      <c r="P22" s="74">
        <f t="shared" si="6"/>
        <v>33569</v>
      </c>
      <c r="Q22" s="1">
        <f t="shared" si="3"/>
        <v>34893</v>
      </c>
    </row>
    <row r="23" spans="1:17" x14ac:dyDescent="0.25">
      <c r="A23" s="2" t="s">
        <v>8</v>
      </c>
      <c r="B23" s="66">
        <v>1962</v>
      </c>
      <c r="C23" s="1">
        <v>278</v>
      </c>
      <c r="D23" s="24">
        <v>235</v>
      </c>
      <c r="E23" s="26">
        <f t="shared" si="0"/>
        <v>8.3489361702127667</v>
      </c>
      <c r="F23" s="86" t="s">
        <v>15</v>
      </c>
      <c r="G23" s="37">
        <f t="shared" si="1"/>
        <v>0.84532374100719421</v>
      </c>
      <c r="H23" s="20">
        <v>3010</v>
      </c>
      <c r="I23" s="2">
        <v>224</v>
      </c>
      <c r="J23" s="5">
        <v>185</v>
      </c>
      <c r="K23" s="22">
        <f t="shared" si="4"/>
        <v>0.8258928571428571</v>
      </c>
      <c r="L23" s="26">
        <f t="shared" si="2"/>
        <v>16.27027027027027</v>
      </c>
      <c r="M23" s="81"/>
      <c r="N23" s="7">
        <f t="shared" si="5"/>
        <v>1.4933333333333334</v>
      </c>
      <c r="O23" s="1">
        <v>150</v>
      </c>
      <c r="P23" s="74">
        <f t="shared" si="6"/>
        <v>35531</v>
      </c>
      <c r="Q23" s="1">
        <f t="shared" si="3"/>
        <v>37903</v>
      </c>
    </row>
    <row r="24" spans="1:17" x14ac:dyDescent="0.25">
      <c r="A24" s="2" t="s">
        <v>9</v>
      </c>
      <c r="B24" s="66">
        <v>1961</v>
      </c>
      <c r="C24" s="2">
        <v>322</v>
      </c>
      <c r="D24" s="24">
        <v>285</v>
      </c>
      <c r="E24" s="26">
        <f t="shared" si="0"/>
        <v>6.8807017543859645</v>
      </c>
      <c r="F24" s="86"/>
      <c r="G24" s="37">
        <f t="shared" si="1"/>
        <v>0.8850931677018633</v>
      </c>
      <c r="H24" s="20">
        <v>3586</v>
      </c>
      <c r="I24" s="2">
        <v>230</v>
      </c>
      <c r="J24" s="5">
        <v>191</v>
      </c>
      <c r="K24" s="22">
        <f t="shared" si="4"/>
        <v>0.83043478260869563</v>
      </c>
      <c r="L24" s="26">
        <f t="shared" si="2"/>
        <v>18.774869109947645</v>
      </c>
      <c r="M24" s="81"/>
      <c r="N24" s="7">
        <f t="shared" si="5"/>
        <v>1.5231788079470199</v>
      </c>
      <c r="O24" s="1">
        <v>151</v>
      </c>
      <c r="P24" s="74">
        <f t="shared" si="6"/>
        <v>37492</v>
      </c>
      <c r="Q24" s="1">
        <f t="shared" si="3"/>
        <v>41489</v>
      </c>
    </row>
    <row r="25" spans="1:17" x14ac:dyDescent="0.25">
      <c r="A25" s="2" t="s">
        <v>10</v>
      </c>
      <c r="B25" s="66">
        <v>1962</v>
      </c>
      <c r="C25" s="2">
        <v>322</v>
      </c>
      <c r="D25" s="24">
        <v>262</v>
      </c>
      <c r="E25" s="26">
        <f t="shared" si="0"/>
        <v>7.4885496183206106</v>
      </c>
      <c r="F25" s="86"/>
      <c r="G25" s="37">
        <f t="shared" si="1"/>
        <v>0.81366459627329191</v>
      </c>
      <c r="H25" s="20">
        <v>4320</v>
      </c>
      <c r="I25" s="2">
        <v>237</v>
      </c>
      <c r="J25" s="5">
        <v>194</v>
      </c>
      <c r="K25" s="22">
        <f t="shared" si="4"/>
        <v>0.81856540084388185</v>
      </c>
      <c r="L25" s="26">
        <f t="shared" si="2"/>
        <v>22.268041237113401</v>
      </c>
      <c r="M25" s="81"/>
      <c r="N25" s="7">
        <f t="shared" si="5"/>
        <v>1.4539877300613497</v>
      </c>
      <c r="O25" s="1">
        <v>163</v>
      </c>
      <c r="P25" s="74">
        <f t="shared" si="6"/>
        <v>39454</v>
      </c>
      <c r="Q25" s="1">
        <f t="shared" si="3"/>
        <v>45809</v>
      </c>
    </row>
    <row r="26" spans="1:17" x14ac:dyDescent="0.25">
      <c r="A26" s="2" t="s">
        <v>0</v>
      </c>
      <c r="B26" s="66">
        <v>1961</v>
      </c>
      <c r="C26" s="2">
        <v>322</v>
      </c>
      <c r="D26" s="24">
        <v>247</v>
      </c>
      <c r="E26" s="26">
        <f t="shared" si="0"/>
        <v>7.9392712550607287</v>
      </c>
      <c r="F26" s="86"/>
      <c r="G26" s="37">
        <f t="shared" si="1"/>
        <v>0.76708074534161486</v>
      </c>
      <c r="H26" s="20">
        <v>2635</v>
      </c>
      <c r="I26" s="2">
        <v>248</v>
      </c>
      <c r="J26" s="5">
        <v>196</v>
      </c>
      <c r="K26" s="22">
        <f t="shared" si="4"/>
        <v>0.79032258064516125</v>
      </c>
      <c r="L26" s="26">
        <f t="shared" si="2"/>
        <v>13.443877551020408</v>
      </c>
      <c r="M26" s="81"/>
      <c r="N26" s="7">
        <f t="shared" si="5"/>
        <v>1.5030303030303029</v>
      </c>
      <c r="O26" s="1">
        <v>165</v>
      </c>
      <c r="P26" s="74">
        <f t="shared" si="6"/>
        <v>41415</v>
      </c>
      <c r="Q26" s="1">
        <f t="shared" si="3"/>
        <v>48444</v>
      </c>
    </row>
    <row r="27" spans="1:17" x14ac:dyDescent="0.25">
      <c r="A27" s="2" t="s">
        <v>1</v>
      </c>
      <c r="B27" s="66">
        <v>1962</v>
      </c>
      <c r="C27" s="2">
        <v>312</v>
      </c>
      <c r="D27" s="24">
        <v>222</v>
      </c>
      <c r="E27" s="26">
        <f t="shared" si="0"/>
        <v>8.8378378378378386</v>
      </c>
      <c r="F27" s="86"/>
      <c r="G27" s="37">
        <f t="shared" si="1"/>
        <v>0.71153846153846156</v>
      </c>
      <c r="H27" s="11">
        <v>3418</v>
      </c>
      <c r="I27" s="2">
        <v>256</v>
      </c>
      <c r="J27" s="5">
        <v>196</v>
      </c>
      <c r="K27" s="22">
        <f t="shared" si="4"/>
        <v>0.765625</v>
      </c>
      <c r="L27" s="26">
        <f t="shared" si="2"/>
        <v>17.438775510204081</v>
      </c>
      <c r="M27" s="81"/>
      <c r="N27" s="7">
        <f t="shared" si="5"/>
        <v>1.5900621118012421</v>
      </c>
      <c r="O27" s="1">
        <v>161</v>
      </c>
      <c r="P27" s="74">
        <f t="shared" si="6"/>
        <v>43377</v>
      </c>
      <c r="Q27" s="1">
        <f t="shared" si="3"/>
        <v>51862</v>
      </c>
    </row>
    <row r="28" spans="1:17" x14ac:dyDescent="0.25">
      <c r="A28" s="2" t="s">
        <v>20</v>
      </c>
      <c r="B28" s="11">
        <v>2593</v>
      </c>
      <c r="C28" s="2">
        <v>312</v>
      </c>
      <c r="D28" s="24">
        <v>202</v>
      </c>
      <c r="E28" s="26">
        <f t="shared" si="0"/>
        <v>12.836633663366337</v>
      </c>
      <c r="F28" s="87">
        <f>AVERAGE(E23:E34)</f>
        <v>11.064670548988735</v>
      </c>
      <c r="G28" s="37">
        <f t="shared" si="1"/>
        <v>0.64743589743589747</v>
      </c>
      <c r="H28" s="11">
        <v>3429</v>
      </c>
      <c r="I28" s="2">
        <v>307</v>
      </c>
      <c r="J28" s="5">
        <v>218</v>
      </c>
      <c r="K28" s="22">
        <f t="shared" si="4"/>
        <v>0.71009771986970682</v>
      </c>
      <c r="L28" s="26">
        <f t="shared" si="2"/>
        <v>15.729357798165138</v>
      </c>
      <c r="M28" s="82">
        <f>AVERAGE(L23:L34)</f>
        <v>16.193374676656383</v>
      </c>
      <c r="N28" s="7">
        <f t="shared" si="5"/>
        <v>1.8834355828220859</v>
      </c>
      <c r="O28" s="1">
        <v>163</v>
      </c>
      <c r="P28" s="74">
        <f t="shared" si="6"/>
        <v>45970</v>
      </c>
      <c r="Q28" s="1">
        <f t="shared" si="3"/>
        <v>55291</v>
      </c>
    </row>
    <row r="29" spans="1:17" ht="18" customHeight="1" x14ac:dyDescent="0.25">
      <c r="A29" s="2" t="s">
        <v>2</v>
      </c>
      <c r="B29" s="11">
        <v>2593</v>
      </c>
      <c r="C29" s="2">
        <v>312</v>
      </c>
      <c r="D29" s="24">
        <v>199</v>
      </c>
      <c r="E29" s="26">
        <f t="shared" si="0"/>
        <v>13.030150753768844</v>
      </c>
      <c r="F29" s="86"/>
      <c r="G29" s="37">
        <f t="shared" si="1"/>
        <v>0.63782051282051277</v>
      </c>
      <c r="H29" s="11">
        <v>2652</v>
      </c>
      <c r="I29" s="2">
        <v>423</v>
      </c>
      <c r="J29" s="5">
        <v>247</v>
      </c>
      <c r="K29" s="22">
        <f t="shared" si="4"/>
        <v>0.58392434988179664</v>
      </c>
      <c r="L29" s="26">
        <f t="shared" si="2"/>
        <v>10.736842105263158</v>
      </c>
      <c r="M29" s="81"/>
      <c r="N29" s="7">
        <f t="shared" si="5"/>
        <v>2.3631284916201118</v>
      </c>
      <c r="O29" s="1">
        <v>179</v>
      </c>
      <c r="P29" s="74">
        <f t="shared" si="6"/>
        <v>48563</v>
      </c>
      <c r="Q29" s="1">
        <f t="shared" si="3"/>
        <v>57943</v>
      </c>
    </row>
    <row r="30" spans="1:17" x14ac:dyDescent="0.25">
      <c r="A30" s="2" t="s">
        <v>3</v>
      </c>
      <c r="B30" s="11">
        <v>2593</v>
      </c>
      <c r="C30" s="2">
        <v>312</v>
      </c>
      <c r="D30" s="24">
        <v>197</v>
      </c>
      <c r="E30" s="26">
        <f t="shared" si="0"/>
        <v>13.162436548223351</v>
      </c>
      <c r="F30" s="86"/>
      <c r="G30" s="37">
        <f t="shared" si="1"/>
        <v>0.63141025641025639</v>
      </c>
      <c r="H30" s="11">
        <v>3632</v>
      </c>
      <c r="I30" s="2">
        <v>441</v>
      </c>
      <c r="J30" s="5">
        <v>226</v>
      </c>
      <c r="K30" s="22">
        <f t="shared" si="4"/>
        <v>0.51247165532879824</v>
      </c>
      <c r="L30" s="26">
        <f t="shared" si="2"/>
        <v>16.070796460176989</v>
      </c>
      <c r="M30" s="81"/>
      <c r="N30" s="7">
        <f t="shared" si="5"/>
        <v>1.96875</v>
      </c>
      <c r="O30" s="1">
        <v>224</v>
      </c>
      <c r="P30" s="74">
        <f t="shared" si="6"/>
        <v>51156</v>
      </c>
      <c r="Q30" s="1">
        <f t="shared" si="3"/>
        <v>61575</v>
      </c>
    </row>
    <row r="31" spans="1:17" x14ac:dyDescent="0.25">
      <c r="A31" s="2" t="s">
        <v>4</v>
      </c>
      <c r="B31" s="11">
        <v>2593</v>
      </c>
      <c r="C31" s="1">
        <v>312</v>
      </c>
      <c r="D31" s="24">
        <v>195</v>
      </c>
      <c r="E31" s="26">
        <f t="shared" si="0"/>
        <v>13.297435897435898</v>
      </c>
      <c r="F31" s="86"/>
      <c r="G31" s="37">
        <f t="shared" si="1"/>
        <v>0.625</v>
      </c>
      <c r="H31" s="11">
        <v>5346</v>
      </c>
      <c r="I31" s="2">
        <v>528</v>
      </c>
      <c r="J31" s="5">
        <v>347</v>
      </c>
      <c r="K31" s="22">
        <f t="shared" si="4"/>
        <v>0.65719696969696972</v>
      </c>
      <c r="L31" s="26">
        <f t="shared" si="2"/>
        <v>15.406340057636887</v>
      </c>
      <c r="M31" s="81"/>
      <c r="N31" s="7">
        <f t="shared" si="5"/>
        <v>1.9924528301886792</v>
      </c>
      <c r="O31" s="1">
        <v>265</v>
      </c>
      <c r="P31" s="74">
        <f t="shared" si="6"/>
        <v>53749</v>
      </c>
      <c r="Q31" s="1">
        <f t="shared" si="3"/>
        <v>66921</v>
      </c>
    </row>
    <row r="32" spans="1:17" x14ac:dyDescent="0.25">
      <c r="A32" s="2" t="s">
        <v>5</v>
      </c>
      <c r="B32" s="11">
        <v>2594</v>
      </c>
      <c r="C32" s="1">
        <v>312</v>
      </c>
      <c r="D32" s="24">
        <v>193</v>
      </c>
      <c r="E32" s="26">
        <f t="shared" si="0"/>
        <v>13.440414507772021</v>
      </c>
      <c r="F32" s="86"/>
      <c r="G32" s="37">
        <f t="shared" si="1"/>
        <v>0.61858974358974361</v>
      </c>
      <c r="H32" s="11">
        <v>6721</v>
      </c>
      <c r="I32" s="2">
        <v>576</v>
      </c>
      <c r="J32" s="5">
        <v>459</v>
      </c>
      <c r="K32" s="22">
        <f t="shared" si="4"/>
        <v>0.796875</v>
      </c>
      <c r="L32" s="26">
        <f t="shared" si="2"/>
        <v>14.642701525054466</v>
      </c>
      <c r="M32" s="81"/>
      <c r="N32" s="7">
        <f t="shared" si="5"/>
        <v>2.0794223826714799</v>
      </c>
      <c r="O32" s="1">
        <v>277</v>
      </c>
      <c r="P32" s="74">
        <f t="shared" si="6"/>
        <v>56343</v>
      </c>
      <c r="Q32" s="1">
        <f t="shared" si="3"/>
        <v>73642</v>
      </c>
    </row>
    <row r="33" spans="1:17" x14ac:dyDescent="0.25">
      <c r="A33" s="2" t="s">
        <v>6</v>
      </c>
      <c r="B33" s="11">
        <v>2593</v>
      </c>
      <c r="C33" s="1">
        <v>312</v>
      </c>
      <c r="D33" s="24">
        <v>190</v>
      </c>
      <c r="E33" s="26">
        <f t="shared" si="0"/>
        <v>13.647368421052631</v>
      </c>
      <c r="F33" s="86"/>
      <c r="G33" s="37">
        <f t="shared" si="1"/>
        <v>0.60897435897435892</v>
      </c>
      <c r="H33" s="11">
        <v>7696</v>
      </c>
      <c r="I33" s="2">
        <v>535</v>
      </c>
      <c r="J33" s="5">
        <v>408</v>
      </c>
      <c r="K33" s="22">
        <f t="shared" si="4"/>
        <v>0.76261682242990658</v>
      </c>
      <c r="L33" s="26">
        <f t="shared" si="2"/>
        <v>18.862745098039216</v>
      </c>
      <c r="M33" s="81"/>
      <c r="N33" s="7">
        <f t="shared" si="5"/>
        <v>1.9597069597069596</v>
      </c>
      <c r="O33" s="1">
        <v>273</v>
      </c>
      <c r="P33" s="74">
        <f>P32+B33</f>
        <v>58936</v>
      </c>
      <c r="Q33" s="1">
        <f t="shared" si="3"/>
        <v>81338</v>
      </c>
    </row>
    <row r="34" spans="1:17" ht="15.75" thickBot="1" x14ac:dyDescent="0.3">
      <c r="A34" s="8" t="s">
        <v>7</v>
      </c>
      <c r="B34" s="16">
        <v>2593</v>
      </c>
      <c r="C34" s="8">
        <v>312</v>
      </c>
      <c r="D34" s="27">
        <v>187</v>
      </c>
      <c r="E34" s="27">
        <f t="shared" si="0"/>
        <v>13.866310160427808</v>
      </c>
      <c r="F34" s="88" t="s">
        <v>35</v>
      </c>
      <c r="G34" s="61">
        <f t="shared" si="1"/>
        <v>0.59935897435897434</v>
      </c>
      <c r="H34" s="16">
        <v>5841</v>
      </c>
      <c r="I34" s="8">
        <v>489</v>
      </c>
      <c r="J34" s="28">
        <v>398</v>
      </c>
      <c r="K34" s="29">
        <f t="shared" si="4"/>
        <v>0.81390593047034765</v>
      </c>
      <c r="L34" s="84">
        <f t="shared" si="2"/>
        <v>14.675879396984925</v>
      </c>
      <c r="M34" s="83"/>
      <c r="N34" s="10">
        <f t="shared" si="5"/>
        <v>1.6464646464646464</v>
      </c>
      <c r="O34" s="9">
        <v>297</v>
      </c>
      <c r="P34" s="74">
        <f t="shared" si="6"/>
        <v>61529</v>
      </c>
      <c r="Q34" s="1">
        <f t="shared" si="3"/>
        <v>87179</v>
      </c>
    </row>
    <row r="35" spans="1:17" x14ac:dyDescent="0.25">
      <c r="B35" s="31" t="s">
        <v>21</v>
      </c>
      <c r="D35" s="6"/>
      <c r="E35" s="38" t="s">
        <v>27</v>
      </c>
      <c r="F35" s="38" t="s">
        <v>27</v>
      </c>
      <c r="G35" s="38" t="s">
        <v>27</v>
      </c>
      <c r="H35" s="31" t="s">
        <v>21</v>
      </c>
      <c r="I35"/>
      <c r="J35" s="13"/>
      <c r="K35" s="38" t="s">
        <v>27</v>
      </c>
      <c r="L35" s="38" t="s">
        <v>27</v>
      </c>
      <c r="M35" s="38" t="s">
        <v>27</v>
      </c>
      <c r="N35" s="38" t="s">
        <v>27</v>
      </c>
    </row>
    <row r="36" spans="1:17" x14ac:dyDescent="0.25">
      <c r="B36" s="32">
        <f>SUM(B2:B34)</f>
        <v>61529</v>
      </c>
      <c r="C36" s="32"/>
      <c r="E36" s="34">
        <f>AVERAGE(E2:E34)</f>
        <v>12.926929578220317</v>
      </c>
      <c r="F36" s="36">
        <f>AVERAGE(F4,F11,F19,F28)</f>
        <v>12.245192388244522</v>
      </c>
      <c r="G36" s="39">
        <f>AVERAGE(G2:G34)</f>
        <v>0.7681489863005404</v>
      </c>
      <c r="H36" s="32">
        <f>SUM(H2:H34)</f>
        <v>87179</v>
      </c>
      <c r="I36"/>
      <c r="J36" s="7"/>
      <c r="K36" s="39">
        <f>AVERAGE(K3:K34)</f>
        <v>0.80658104410304199</v>
      </c>
      <c r="L36" s="36">
        <f>AVERAGE(L3:L34)</f>
        <v>17.612365303875158</v>
      </c>
      <c r="M36" s="36">
        <f>AVERAGE(M2:M34)</f>
        <v>17.937845045673029</v>
      </c>
      <c r="N36" s="40">
        <f>AVERAGE(N3:N34)</f>
        <v>1.6275314304526571</v>
      </c>
    </row>
    <row r="37" spans="1:17" ht="15.75" thickBot="1" x14ac:dyDescent="0.3">
      <c r="A37" s="6"/>
      <c r="B37" s="6"/>
      <c r="C37" s="54"/>
      <c r="E37" s="6"/>
      <c r="F37" s="6"/>
      <c r="G37" s="6"/>
      <c r="H37" s="55"/>
      <c r="I37" s="5"/>
      <c r="J37" s="26"/>
      <c r="K37" s="56"/>
      <c r="L37" s="13"/>
      <c r="M37" s="5"/>
      <c r="N37" s="4"/>
      <c r="P37" s="11"/>
    </row>
    <row r="38" spans="1:17" ht="15.75" thickTop="1" x14ac:dyDescent="0.25">
      <c r="A38" s="98"/>
      <c r="B38" s="99"/>
      <c r="C38" s="108" t="s">
        <v>56</v>
      </c>
      <c r="D38" s="108" t="s">
        <v>57</v>
      </c>
      <c r="E38" s="100"/>
    </row>
    <row r="39" spans="1:17" ht="65.25" customHeight="1" x14ac:dyDescent="0.25">
      <c r="A39" s="109" t="s">
        <v>58</v>
      </c>
      <c r="B39" s="75" t="s">
        <v>49</v>
      </c>
      <c r="C39" s="75" t="s">
        <v>50</v>
      </c>
      <c r="D39" s="76" t="s">
        <v>51</v>
      </c>
      <c r="E39" s="101"/>
      <c r="G39" s="73"/>
      <c r="I39" s="72" t="s">
        <v>42</v>
      </c>
      <c r="J39" s="72" t="s">
        <v>54</v>
      </c>
      <c r="K39" s="72" t="s">
        <v>43</v>
      </c>
      <c r="L39" s="72" t="s">
        <v>36</v>
      </c>
      <c r="M39" s="72" t="s">
        <v>43</v>
      </c>
    </row>
    <row r="40" spans="1:17" ht="40.5" customHeight="1" x14ac:dyDescent="0.25">
      <c r="A40" s="102" t="s">
        <v>38</v>
      </c>
      <c r="B40" s="63">
        <v>25</v>
      </c>
      <c r="C40" s="91">
        <f>AVERAGE(E12:E16)</f>
        <v>25.712975956739022</v>
      </c>
      <c r="D40" s="63">
        <f>AVERAGE(L12:L16)</f>
        <v>17.033835792620174</v>
      </c>
      <c r="E40" s="101"/>
      <c r="I40" s="62">
        <v>1950</v>
      </c>
      <c r="J40" s="64">
        <v>1079</v>
      </c>
      <c r="K40" s="64">
        <f>J40</f>
        <v>1079</v>
      </c>
      <c r="L40" s="68">
        <f>SUM(B2:B3)</f>
        <v>1079</v>
      </c>
      <c r="M40" s="67">
        <f>L40</f>
        <v>1079</v>
      </c>
    </row>
    <row r="41" spans="1:17" ht="38.25" x14ac:dyDescent="0.25">
      <c r="A41" s="103" t="s">
        <v>39</v>
      </c>
      <c r="B41" s="63">
        <v>13</v>
      </c>
      <c r="C41" s="91">
        <f>AVERAGE(E17:E22)</f>
        <v>12.881396109869344</v>
      </c>
      <c r="D41" s="63">
        <f>AVERAGE(L17:L22)</f>
        <v>21.279076527284257</v>
      </c>
      <c r="E41" s="101"/>
      <c r="I41" s="62">
        <v>1951</v>
      </c>
      <c r="J41" s="64">
        <v>18759</v>
      </c>
      <c r="K41" s="64">
        <f>K40+J41</f>
        <v>19838</v>
      </c>
      <c r="L41" s="68">
        <f>SUM(B4:B15)</f>
        <v>18759</v>
      </c>
      <c r="M41" s="67">
        <f>M40+L41</f>
        <v>19838</v>
      </c>
    </row>
    <row r="42" spans="1:17" ht="49.5" customHeight="1" thickBot="1" x14ac:dyDescent="0.3">
      <c r="A42" s="104" t="s">
        <v>40</v>
      </c>
      <c r="B42" s="105">
        <v>10</v>
      </c>
      <c r="C42" s="106">
        <f>AVERAGE(E23:E27)</f>
        <v>7.8990593271635818</v>
      </c>
      <c r="D42" s="105">
        <f>AVERAGE(L23:L27)</f>
        <v>17.639166735711164</v>
      </c>
      <c r="E42" s="107"/>
      <c r="I42" s="62">
        <v>1952</v>
      </c>
      <c r="J42" s="64">
        <v>23539</v>
      </c>
      <c r="K42" s="64">
        <f t="shared" ref="K42:K43" si="7">K41+J42</f>
        <v>43377</v>
      </c>
      <c r="L42" s="68">
        <f>SUM(B16:B27)</f>
        <v>23539</v>
      </c>
      <c r="M42" s="67">
        <f>M41+L42</f>
        <v>43377</v>
      </c>
    </row>
    <row r="43" spans="1:17" ht="15.75" thickTop="1" x14ac:dyDescent="0.25">
      <c r="A43" s="54"/>
      <c r="B43" s="57"/>
      <c r="F43" s="12"/>
      <c r="I43" s="62">
        <v>1953</v>
      </c>
      <c r="J43" s="69">
        <v>18152</v>
      </c>
      <c r="K43" s="64">
        <f t="shared" si="7"/>
        <v>61529</v>
      </c>
      <c r="L43" s="68">
        <f>SUM(B28:B34)</f>
        <v>18152</v>
      </c>
      <c r="M43" s="67">
        <f>M42+L43</f>
        <v>61529</v>
      </c>
    </row>
    <row r="44" spans="1:17" x14ac:dyDescent="0.25">
      <c r="A44" s="54"/>
      <c r="B44" s="57"/>
      <c r="C44" s="5"/>
      <c r="E44" s="51"/>
      <c r="F44" s="58"/>
      <c r="G44" s="5"/>
      <c r="I44" s="5"/>
      <c r="J44" s="70">
        <f>SUM(J40:J43)</f>
        <v>61529</v>
      </c>
      <c r="K44" s="64"/>
      <c r="L44" s="68">
        <f>SUM(L40:L43)</f>
        <v>61529</v>
      </c>
      <c r="M44" s="5"/>
    </row>
    <row r="45" spans="1:17" x14ac:dyDescent="0.25">
      <c r="A45" s="54"/>
      <c r="B45" s="57"/>
      <c r="C45" s="21"/>
      <c r="G45" s="5"/>
      <c r="I45" s="5"/>
      <c r="J45" s="71"/>
      <c r="K45" s="21"/>
      <c r="L45" s="21"/>
      <c r="M45" s="21"/>
    </row>
    <row r="46" spans="1:17" ht="30" x14ac:dyDescent="0.25">
      <c r="A46" s="6"/>
      <c r="B46" s="6"/>
      <c r="C46" s="5"/>
      <c r="D46" s="59"/>
      <c r="E46" s="51"/>
      <c r="F46" s="58"/>
      <c r="G46" s="5"/>
      <c r="I46" s="5"/>
      <c r="J46" s="78" t="s">
        <v>44</v>
      </c>
      <c r="K46" s="78">
        <f>SUM(B2:B10)</f>
        <v>6690</v>
      </c>
      <c r="L46" s="26"/>
      <c r="M46" s="21"/>
    </row>
    <row r="47" spans="1:17" ht="30" x14ac:dyDescent="0.25">
      <c r="A47" s="54"/>
      <c r="B47" s="57"/>
      <c r="C47" s="5"/>
      <c r="D47" s="59"/>
      <c r="E47" s="51"/>
      <c r="F47" s="58"/>
      <c r="G47" s="5"/>
      <c r="H47" s="5"/>
      <c r="I47" s="5"/>
      <c r="J47" s="79" t="s">
        <v>37</v>
      </c>
      <c r="K47" s="78">
        <f>SUM(B2:B17)</f>
        <v>23761</v>
      </c>
      <c r="L47" s="26"/>
      <c r="M47" s="5"/>
    </row>
    <row r="48" spans="1:17" x14ac:dyDescent="0.25">
      <c r="A48" s="54"/>
      <c r="B48" s="57"/>
      <c r="C48" s="5"/>
      <c r="D48" s="59"/>
      <c r="E48" s="51"/>
      <c r="F48" s="51"/>
      <c r="G48" s="5"/>
      <c r="H48" s="5"/>
      <c r="M48" s="5"/>
      <c r="N48" s="13"/>
    </row>
    <row r="49" spans="1:14" x14ac:dyDescent="0.25">
      <c r="A49" s="6"/>
      <c r="B49" s="6"/>
      <c r="C49" s="5"/>
      <c r="D49" s="59"/>
      <c r="E49" s="51"/>
      <c r="F49" s="58"/>
      <c r="G49" s="5"/>
      <c r="H49" s="5"/>
      <c r="M49" s="26"/>
      <c r="N49" s="13"/>
    </row>
    <row r="50" spans="1:14" x14ac:dyDescent="0.25">
      <c r="A50" s="6"/>
      <c r="B50" s="6"/>
      <c r="C50" s="5"/>
      <c r="D50" s="59"/>
      <c r="E50" s="51"/>
      <c r="F50" s="58"/>
      <c r="G50" s="5"/>
      <c r="H50" s="5"/>
      <c r="N50" s="13"/>
    </row>
    <row r="51" spans="1:14" x14ac:dyDescent="0.25">
      <c r="A51" s="6"/>
      <c r="B51" s="6"/>
      <c r="C51" s="5"/>
      <c r="D51" s="59"/>
      <c r="E51" s="51"/>
      <c r="F51" s="58"/>
      <c r="G51" s="5"/>
      <c r="H51" s="5"/>
      <c r="N51" s="13"/>
    </row>
    <row r="52" spans="1:14" x14ac:dyDescent="0.25">
      <c r="A52" s="6"/>
      <c r="B52" s="6"/>
      <c r="C52" s="5"/>
      <c r="D52" s="54"/>
      <c r="E52" s="51"/>
      <c r="F52" s="58"/>
      <c r="G52" s="5"/>
      <c r="H52" s="5"/>
      <c r="N52" s="13"/>
    </row>
    <row r="53" spans="1:14" x14ac:dyDescent="0.25">
      <c r="A53" s="6"/>
      <c r="B53" s="6"/>
      <c r="C53" s="5"/>
      <c r="D53" s="6"/>
      <c r="E53" s="51"/>
      <c r="F53" s="58"/>
      <c r="G53" s="5"/>
      <c r="H53" s="5"/>
      <c r="I53" s="5"/>
      <c r="J53" s="6"/>
      <c r="K53" s="68"/>
    </row>
    <row r="54" spans="1:14" x14ac:dyDescent="0.25">
      <c r="A54" s="6"/>
      <c r="B54" s="6"/>
      <c r="C54" s="5"/>
      <c r="D54" s="6"/>
      <c r="E54" s="6"/>
      <c r="F54" s="60"/>
      <c r="G54" s="60"/>
      <c r="H54" s="5"/>
      <c r="I54" s="5"/>
      <c r="J54" s="6"/>
      <c r="K54" s="5"/>
    </row>
    <row r="55" spans="1:14" x14ac:dyDescent="0.25">
      <c r="A55" s="6"/>
      <c r="B55" s="6"/>
      <c r="C55" s="5"/>
      <c r="D55" s="6"/>
      <c r="E55" s="6"/>
      <c r="F55" s="6"/>
      <c r="G55" s="5"/>
      <c r="H55" s="5"/>
      <c r="I55" s="5"/>
      <c r="J55" s="6"/>
      <c r="K55" s="5"/>
    </row>
    <row r="56" spans="1:14" x14ac:dyDescent="0.25">
      <c r="C56" s="1"/>
      <c r="G56" s="1"/>
    </row>
    <row r="57" spans="1:14" x14ac:dyDescent="0.25">
      <c r="C57" s="1"/>
      <c r="G57" s="1"/>
    </row>
    <row r="58" spans="1:14" x14ac:dyDescent="0.25">
      <c r="C58" s="1"/>
      <c r="G58" s="1"/>
    </row>
    <row r="59" spans="1:14" x14ac:dyDescent="0.25">
      <c r="C59" s="1"/>
      <c r="G59" s="1"/>
    </row>
    <row r="60" spans="1:14" x14ac:dyDescent="0.25">
      <c r="C60" s="1"/>
      <c r="G60" s="1"/>
    </row>
    <row r="61" spans="1:14" x14ac:dyDescent="0.25">
      <c r="C61" s="1"/>
      <c r="G61" s="1"/>
    </row>
    <row r="62" spans="1:14" x14ac:dyDescent="0.25">
      <c r="C62" s="1"/>
      <c r="G62" s="1"/>
    </row>
    <row r="63" spans="1:14" x14ac:dyDescent="0.25">
      <c r="C63" s="1"/>
      <c r="G63" s="1"/>
    </row>
    <row r="64" spans="1:14" x14ac:dyDescent="0.25">
      <c r="C64" s="1"/>
      <c r="G64" s="1"/>
    </row>
    <row r="65" spans="3:7" x14ac:dyDescent="0.25">
      <c r="C65" s="1"/>
      <c r="G65" s="1"/>
    </row>
    <row r="66" spans="3:7" x14ac:dyDescent="0.25">
      <c r="C66" s="1"/>
    </row>
    <row r="67" spans="3:7" x14ac:dyDescent="0.25">
      <c r="C67" s="1"/>
    </row>
    <row r="68" spans="3:7" x14ac:dyDescent="0.25">
      <c r="C68" s="1"/>
    </row>
    <row r="69" spans="3:7" x14ac:dyDescent="0.25">
      <c r="C69" s="1"/>
    </row>
    <row r="70" spans="3:7" x14ac:dyDescent="0.25">
      <c r="C70" s="1"/>
    </row>
    <row r="71" spans="3:7" x14ac:dyDescent="0.25">
      <c r="C71" s="1"/>
    </row>
    <row r="72" spans="3:7" x14ac:dyDescent="0.25">
      <c r="C72" s="1"/>
    </row>
    <row r="73" spans="3:7" x14ac:dyDescent="0.25">
      <c r="C73" s="1"/>
    </row>
    <row r="74" spans="3:7" x14ac:dyDescent="0.25">
      <c r="C74" s="1"/>
    </row>
    <row r="75" spans="3:7" x14ac:dyDescent="0.25">
      <c r="C75" s="1"/>
    </row>
    <row r="76" spans="3:7" x14ac:dyDescent="0.25">
      <c r="C76" s="1"/>
    </row>
    <row r="77" spans="3:7" x14ac:dyDescent="0.25">
      <c r="C77" s="1"/>
    </row>
    <row r="78" spans="3:7" x14ac:dyDescent="0.25">
      <c r="C78" s="1"/>
    </row>
    <row r="79" spans="3:7" x14ac:dyDescent="0.25">
      <c r="C79" s="1"/>
    </row>
    <row r="80" spans="3:7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6"/>
  <sheetViews>
    <sheetView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16" customWidth="1"/>
    <col min="2" max="2" width="27.85546875" bestFit="1" customWidth="1"/>
    <col min="3" max="3" width="17.85546875" customWidth="1"/>
    <col min="4" max="4" width="19.28515625" style="5" customWidth="1"/>
    <col min="5" max="5" width="16" customWidth="1"/>
    <col min="6" max="6" width="22.140625" customWidth="1"/>
    <col min="7" max="7" width="13.28515625" customWidth="1"/>
    <col min="8" max="8" width="17.5703125" style="1" customWidth="1"/>
    <col min="9" max="9" width="19.85546875" style="1" customWidth="1"/>
    <col min="10" max="10" width="14.140625" customWidth="1"/>
    <col min="11" max="11" width="22.28515625" style="1" customWidth="1"/>
    <col min="12" max="12" width="16.7109375" style="5" customWidth="1"/>
    <col min="13" max="13" width="22" style="1" customWidth="1"/>
    <col min="14" max="14" width="21.140625" style="5" customWidth="1"/>
    <col min="15" max="15" width="21.28515625" customWidth="1"/>
    <col min="16" max="16" width="11.140625" customWidth="1"/>
    <col min="17" max="17" width="13.42578125" customWidth="1"/>
  </cols>
  <sheetData>
    <row r="1" spans="1:18" ht="69.75" customHeight="1" x14ac:dyDescent="0.25">
      <c r="A1" s="50" t="s">
        <v>32</v>
      </c>
      <c r="B1" s="43" t="s">
        <v>26</v>
      </c>
      <c r="C1" s="44" t="s">
        <v>24</v>
      </c>
      <c r="D1" s="44" t="s">
        <v>25</v>
      </c>
      <c r="E1" s="45" t="s">
        <v>33</v>
      </c>
      <c r="F1" s="41" t="s">
        <v>28</v>
      </c>
      <c r="G1" s="46" t="s">
        <v>30</v>
      </c>
      <c r="H1" s="44" t="s">
        <v>22</v>
      </c>
      <c r="I1" s="44" t="s">
        <v>31</v>
      </c>
      <c r="J1" s="48" t="s">
        <v>67</v>
      </c>
      <c r="K1" s="48" t="s">
        <v>29</v>
      </c>
      <c r="L1" s="45" t="s">
        <v>33</v>
      </c>
      <c r="M1" s="49" t="s">
        <v>23</v>
      </c>
      <c r="N1" s="44" t="s">
        <v>16</v>
      </c>
      <c r="R1" s="3"/>
    </row>
    <row r="2" spans="1:18" x14ac:dyDescent="0.25">
      <c r="A2" s="2" t="s">
        <v>17</v>
      </c>
      <c r="B2" s="1">
        <v>402</v>
      </c>
      <c r="C2" s="1">
        <v>114</v>
      </c>
      <c r="D2" s="42">
        <f>C2*0.98</f>
        <v>111.72</v>
      </c>
      <c r="E2" s="23">
        <f t="shared" ref="E2:E34" si="0">B2/D2</f>
        <v>3.59828141783029</v>
      </c>
      <c r="F2" s="14" t="s">
        <v>12</v>
      </c>
      <c r="G2" s="37">
        <f>D2/C2</f>
        <v>0.98</v>
      </c>
      <c r="I2" s="2"/>
      <c r="J2" s="5"/>
      <c r="N2" s="7"/>
    </row>
    <row r="3" spans="1:18" x14ac:dyDescent="0.25">
      <c r="A3" s="2" t="s">
        <v>1</v>
      </c>
      <c r="B3" s="1">
        <v>677</v>
      </c>
      <c r="C3" s="1">
        <v>64</v>
      </c>
      <c r="D3" s="24">
        <f>C3*0.98</f>
        <v>62.72</v>
      </c>
      <c r="E3" s="23">
        <f t="shared" si="0"/>
        <v>10.794005102040817</v>
      </c>
      <c r="F3" s="14"/>
      <c r="G3" s="37">
        <f t="shared" ref="G3:G34" si="1">D3/C3</f>
        <v>0.98</v>
      </c>
      <c r="H3" s="1">
        <v>236</v>
      </c>
      <c r="I3" s="2">
        <v>26</v>
      </c>
      <c r="J3" s="5">
        <v>26</v>
      </c>
      <c r="K3" s="22">
        <f>J3/I3</f>
        <v>1</v>
      </c>
      <c r="L3" s="23">
        <f t="shared" ref="L3:L34" si="2">H3/J3</f>
        <v>9.0769230769230766</v>
      </c>
      <c r="M3" s="1">
        <v>19</v>
      </c>
      <c r="N3" s="7">
        <f>I3/M3</f>
        <v>1.368421052631579</v>
      </c>
    </row>
    <row r="4" spans="1:18" x14ac:dyDescent="0.25">
      <c r="A4" s="2" t="s">
        <v>18</v>
      </c>
      <c r="B4" s="1">
        <v>519</v>
      </c>
      <c r="C4" s="1">
        <v>68</v>
      </c>
      <c r="D4" s="24">
        <f>C4*0.92</f>
        <v>62.56</v>
      </c>
      <c r="E4" s="23">
        <f t="shared" si="0"/>
        <v>8.2960358056265981</v>
      </c>
      <c r="F4" s="35">
        <f>AVERAGE(E2:E6)</f>
        <v>6.7645552214020626</v>
      </c>
      <c r="G4" s="37">
        <f t="shared" si="1"/>
        <v>0.92</v>
      </c>
      <c r="H4" s="5">
        <v>212</v>
      </c>
      <c r="I4" s="4">
        <v>6</v>
      </c>
      <c r="J4" s="5">
        <v>6</v>
      </c>
      <c r="K4" s="22">
        <f>J4/I4</f>
        <v>1</v>
      </c>
      <c r="L4" s="23">
        <f t="shared" si="2"/>
        <v>35.333333333333336</v>
      </c>
      <c r="M4" s="1">
        <v>4</v>
      </c>
      <c r="N4" s="7">
        <f>I4/M4</f>
        <v>1.5</v>
      </c>
    </row>
    <row r="5" spans="1:18" x14ac:dyDescent="0.25">
      <c r="A5" s="2" t="s">
        <v>2</v>
      </c>
      <c r="B5" s="1">
        <v>371</v>
      </c>
      <c r="C5" s="1">
        <v>68</v>
      </c>
      <c r="D5" s="24">
        <f>C5*0.98</f>
        <v>66.64</v>
      </c>
      <c r="E5" s="23">
        <f t="shared" si="0"/>
        <v>5.5672268907563023</v>
      </c>
      <c r="F5" s="14"/>
      <c r="G5" s="37">
        <f t="shared" si="1"/>
        <v>0.98</v>
      </c>
      <c r="H5" s="1">
        <v>1</v>
      </c>
      <c r="I5" s="2">
        <v>0</v>
      </c>
      <c r="J5" s="5">
        <v>1</v>
      </c>
      <c r="K5" s="22">
        <v>1</v>
      </c>
      <c r="L5" s="23">
        <f t="shared" si="2"/>
        <v>1</v>
      </c>
      <c r="M5" s="1">
        <v>0</v>
      </c>
      <c r="N5" s="7">
        <v>0</v>
      </c>
    </row>
    <row r="6" spans="1:18" ht="15.75" thickBot="1" x14ac:dyDescent="0.3">
      <c r="A6" s="8" t="s">
        <v>3</v>
      </c>
      <c r="B6" s="8">
        <v>371</v>
      </c>
      <c r="C6" s="16">
        <v>68</v>
      </c>
      <c r="D6" s="16">
        <f>C6*0.98</f>
        <v>66.64</v>
      </c>
      <c r="E6" s="25">
        <f t="shared" si="0"/>
        <v>5.5672268907563023</v>
      </c>
      <c r="F6" s="15"/>
      <c r="G6" s="37">
        <f t="shared" si="1"/>
        <v>0.98</v>
      </c>
      <c r="H6" s="9">
        <v>904</v>
      </c>
      <c r="I6" s="8">
        <v>41</v>
      </c>
      <c r="J6" s="28">
        <v>41</v>
      </c>
      <c r="K6" s="29">
        <f t="shared" ref="K6:K34" si="3">J6/I6</f>
        <v>1</v>
      </c>
      <c r="L6" s="30">
        <f t="shared" si="2"/>
        <v>22.048780487804876</v>
      </c>
      <c r="M6" s="9">
        <v>37</v>
      </c>
      <c r="N6" s="10">
        <f t="shared" ref="N6:N34" si="4">I6/M6</f>
        <v>1.1081081081081081</v>
      </c>
    </row>
    <row r="7" spans="1:18" x14ac:dyDescent="0.25">
      <c r="A7" s="2" t="s">
        <v>4</v>
      </c>
      <c r="B7" s="1">
        <v>1260</v>
      </c>
      <c r="C7" s="1">
        <v>68</v>
      </c>
      <c r="D7" s="24">
        <f>C7*0.98</f>
        <v>66.64</v>
      </c>
      <c r="E7" s="23">
        <f t="shared" si="0"/>
        <v>18.907563025210084</v>
      </c>
      <c r="F7" s="14" t="s">
        <v>13</v>
      </c>
      <c r="G7" s="37">
        <f t="shared" si="1"/>
        <v>0.98</v>
      </c>
      <c r="H7" s="1">
        <v>1073</v>
      </c>
      <c r="I7" s="2">
        <v>58</v>
      </c>
      <c r="J7" s="5">
        <v>58</v>
      </c>
      <c r="K7" s="22">
        <f t="shared" si="3"/>
        <v>1</v>
      </c>
      <c r="L7" s="23">
        <f t="shared" si="2"/>
        <v>18.5</v>
      </c>
      <c r="M7" s="1">
        <v>46</v>
      </c>
      <c r="N7" s="7">
        <f t="shared" si="4"/>
        <v>1.2608695652173914</v>
      </c>
    </row>
    <row r="8" spans="1:18" x14ac:dyDescent="0.25">
      <c r="A8" s="2" t="s">
        <v>5</v>
      </c>
      <c r="B8" s="1">
        <v>1000</v>
      </c>
      <c r="C8" s="1">
        <v>100</v>
      </c>
      <c r="D8" s="24">
        <f>(68*0.92)+(32*0.98)</f>
        <v>93.92</v>
      </c>
      <c r="E8" s="23">
        <f t="shared" si="0"/>
        <v>10.647359454855195</v>
      </c>
      <c r="F8" s="14"/>
      <c r="G8" s="37">
        <f t="shared" si="1"/>
        <v>0.93920000000000003</v>
      </c>
      <c r="H8" s="11">
        <v>1360</v>
      </c>
      <c r="I8" s="2">
        <v>57</v>
      </c>
      <c r="J8" s="5">
        <v>57</v>
      </c>
      <c r="K8" s="22">
        <f t="shared" si="3"/>
        <v>1</v>
      </c>
      <c r="L8" s="23">
        <f t="shared" si="2"/>
        <v>23.859649122807017</v>
      </c>
      <c r="M8" s="1">
        <v>47</v>
      </c>
      <c r="N8" s="7">
        <f t="shared" si="4"/>
        <v>1.2127659574468086</v>
      </c>
    </row>
    <row r="9" spans="1:18" x14ac:dyDescent="0.25">
      <c r="A9" s="2" t="s">
        <v>6</v>
      </c>
      <c r="B9" s="1">
        <v>1400</v>
      </c>
      <c r="C9" s="1">
        <v>168</v>
      </c>
      <c r="D9" s="24">
        <f>(68*0.85)+(100*0.92)</f>
        <v>149.80000000000001</v>
      </c>
      <c r="E9" s="23">
        <f t="shared" si="0"/>
        <v>9.3457943925233646</v>
      </c>
      <c r="F9" s="14"/>
      <c r="G9" s="37">
        <f t="shared" si="1"/>
        <v>0.89166666666666672</v>
      </c>
      <c r="H9" s="11">
        <v>1250</v>
      </c>
      <c r="I9" s="2">
        <v>59</v>
      </c>
      <c r="J9" s="5">
        <v>52</v>
      </c>
      <c r="K9" s="22">
        <f t="shared" si="3"/>
        <v>0.88135593220338981</v>
      </c>
      <c r="L9" s="23">
        <f t="shared" si="2"/>
        <v>24.03846153846154</v>
      </c>
      <c r="M9" s="1">
        <v>44</v>
      </c>
      <c r="N9" s="7">
        <f t="shared" si="4"/>
        <v>1.3409090909090908</v>
      </c>
    </row>
    <row r="10" spans="1:18" x14ac:dyDescent="0.25">
      <c r="A10" s="4" t="s">
        <v>7</v>
      </c>
      <c r="B10" s="1">
        <v>1100</v>
      </c>
      <c r="C10" s="1">
        <v>168</v>
      </c>
      <c r="D10" s="24">
        <f>(68*0.79)+(100*0.85)</f>
        <v>138.72</v>
      </c>
      <c r="E10" s="23">
        <f t="shared" si="0"/>
        <v>7.9296424452133794</v>
      </c>
      <c r="F10" s="14"/>
      <c r="G10" s="37">
        <f t="shared" si="1"/>
        <v>0.82571428571428573</v>
      </c>
      <c r="H10" s="11">
        <v>734</v>
      </c>
      <c r="I10" s="2">
        <v>88</v>
      </c>
      <c r="J10" s="5">
        <v>82</v>
      </c>
      <c r="K10" s="22">
        <f t="shared" si="3"/>
        <v>0.93181818181818177</v>
      </c>
      <c r="L10" s="23">
        <f t="shared" si="2"/>
        <v>8.9512195121951219</v>
      </c>
      <c r="M10" s="5">
        <v>41</v>
      </c>
      <c r="N10" s="7">
        <f t="shared" si="4"/>
        <v>2.1463414634146343</v>
      </c>
    </row>
    <row r="11" spans="1:18" ht="15.75" customHeight="1" x14ac:dyDescent="0.25">
      <c r="A11" s="4" t="s">
        <v>8</v>
      </c>
      <c r="B11" s="1">
        <v>1000</v>
      </c>
      <c r="C11" s="1">
        <v>168</v>
      </c>
      <c r="D11" s="24">
        <f>(68*0.7)+(100*0.79)</f>
        <v>126.6</v>
      </c>
      <c r="E11" s="23">
        <f t="shared" si="0"/>
        <v>7.8988941548183256</v>
      </c>
      <c r="F11" s="35">
        <f>AVERAGE(E7:E16)</f>
        <v>17.722532518016841</v>
      </c>
      <c r="G11" s="37">
        <f t="shared" si="1"/>
        <v>0.75357142857142856</v>
      </c>
      <c r="H11" s="11">
        <v>940</v>
      </c>
      <c r="I11" s="2">
        <v>82</v>
      </c>
      <c r="J11" s="5">
        <v>69</v>
      </c>
      <c r="K11" s="22">
        <f t="shared" si="3"/>
        <v>0.84146341463414631</v>
      </c>
      <c r="L11" s="23">
        <f t="shared" si="2"/>
        <v>13.623188405797102</v>
      </c>
      <c r="M11" s="5">
        <v>39</v>
      </c>
      <c r="N11" s="7">
        <f t="shared" si="4"/>
        <v>2.1025641025641026</v>
      </c>
    </row>
    <row r="12" spans="1:18" x14ac:dyDescent="0.25">
      <c r="A12" s="4" t="s">
        <v>9</v>
      </c>
      <c r="B12" s="1">
        <v>2400</v>
      </c>
      <c r="C12" s="1">
        <v>168</v>
      </c>
      <c r="D12" s="24">
        <f>(68*0.6)+(100*0.7)</f>
        <v>110.8</v>
      </c>
      <c r="E12" s="23">
        <f t="shared" si="0"/>
        <v>21.660649819494587</v>
      </c>
      <c r="F12" s="14"/>
      <c r="G12" s="37">
        <f t="shared" si="1"/>
        <v>0.65952380952380951</v>
      </c>
      <c r="H12" s="11">
        <v>1119</v>
      </c>
      <c r="I12" s="2">
        <v>90</v>
      </c>
      <c r="J12" s="5">
        <v>75</v>
      </c>
      <c r="K12" s="22">
        <f t="shared" si="3"/>
        <v>0.83333333333333337</v>
      </c>
      <c r="L12" s="23">
        <f t="shared" si="2"/>
        <v>14.92</v>
      </c>
      <c r="M12" s="5">
        <v>44</v>
      </c>
      <c r="N12" s="7">
        <f t="shared" si="4"/>
        <v>2.0454545454545454</v>
      </c>
    </row>
    <row r="13" spans="1:18" x14ac:dyDescent="0.25">
      <c r="A13" s="4" t="s">
        <v>10</v>
      </c>
      <c r="B13" s="1">
        <v>2800</v>
      </c>
      <c r="C13" s="1">
        <v>168</v>
      </c>
      <c r="D13" s="24">
        <f>(68*0.6)+(100*0.6)</f>
        <v>100.8</v>
      </c>
      <c r="E13" s="23">
        <f t="shared" si="0"/>
        <v>27.777777777777779</v>
      </c>
      <c r="F13" s="14"/>
      <c r="G13" s="37">
        <f t="shared" si="1"/>
        <v>0.6</v>
      </c>
      <c r="H13" s="11">
        <v>1622</v>
      </c>
      <c r="I13" s="2">
        <v>85</v>
      </c>
      <c r="J13" s="5">
        <v>62</v>
      </c>
      <c r="K13" s="22">
        <f t="shared" si="3"/>
        <v>0.72941176470588232</v>
      </c>
      <c r="L13" s="23">
        <f t="shared" si="2"/>
        <v>26.161290322580644</v>
      </c>
      <c r="M13" s="5">
        <v>42</v>
      </c>
      <c r="N13" s="7">
        <f t="shared" si="4"/>
        <v>2.0238095238095237</v>
      </c>
    </row>
    <row r="14" spans="1:18" x14ac:dyDescent="0.25">
      <c r="A14" s="4" t="s">
        <v>0</v>
      </c>
      <c r="B14" s="1">
        <v>3000</v>
      </c>
      <c r="C14" s="1">
        <v>168</v>
      </c>
      <c r="D14" s="24">
        <f>(68*0.6)+(100*0.6)</f>
        <v>100.8</v>
      </c>
      <c r="E14" s="23">
        <f t="shared" si="0"/>
        <v>29.761904761904763</v>
      </c>
      <c r="F14" s="53"/>
      <c r="G14" s="37">
        <f t="shared" si="1"/>
        <v>0.6</v>
      </c>
      <c r="H14" s="11">
        <v>1003</v>
      </c>
      <c r="I14" s="2">
        <v>116</v>
      </c>
      <c r="J14" s="5">
        <v>74</v>
      </c>
      <c r="K14" s="22">
        <f t="shared" si="3"/>
        <v>0.63793103448275867</v>
      </c>
      <c r="L14" s="23">
        <f t="shared" si="2"/>
        <v>13.554054054054054</v>
      </c>
      <c r="M14" s="5">
        <v>56</v>
      </c>
      <c r="N14" s="7">
        <f t="shared" si="4"/>
        <v>2.0714285714285716</v>
      </c>
    </row>
    <row r="15" spans="1:18" ht="17.25" customHeight="1" x14ac:dyDescent="0.25">
      <c r="A15" s="4" t="s">
        <v>1</v>
      </c>
      <c r="B15" s="1">
        <v>3000</v>
      </c>
      <c r="C15" s="1">
        <v>168</v>
      </c>
      <c r="D15" s="24">
        <f>(68*0.6)+(100*0.6)</f>
        <v>100.8</v>
      </c>
      <c r="E15" s="23">
        <f t="shared" si="0"/>
        <v>29.761904761904763</v>
      </c>
      <c r="F15" s="14"/>
      <c r="G15" s="37">
        <f t="shared" si="1"/>
        <v>0.6</v>
      </c>
      <c r="H15" s="11">
        <v>2066</v>
      </c>
      <c r="I15" s="2">
        <v>201</v>
      </c>
      <c r="J15" s="5">
        <v>133</v>
      </c>
      <c r="K15" s="22">
        <f t="shared" si="3"/>
        <v>0.6616915422885572</v>
      </c>
      <c r="L15" s="23">
        <f t="shared" si="2"/>
        <v>15.533834586466165</v>
      </c>
      <c r="M15" s="5">
        <v>127</v>
      </c>
      <c r="N15" s="7">
        <f t="shared" si="4"/>
        <v>1.5826771653543308</v>
      </c>
    </row>
    <row r="16" spans="1:18" ht="15.75" thickBot="1" x14ac:dyDescent="0.3">
      <c r="A16" s="8" t="s">
        <v>19</v>
      </c>
      <c r="B16" s="8">
        <v>1800</v>
      </c>
      <c r="C16" s="8">
        <v>202</v>
      </c>
      <c r="D16" s="16">
        <v>133</v>
      </c>
      <c r="E16" s="25">
        <f t="shared" si="0"/>
        <v>13.533834586466165</v>
      </c>
      <c r="F16" s="15"/>
      <c r="G16" s="37">
        <f t="shared" si="1"/>
        <v>0.65841584158415845</v>
      </c>
      <c r="H16" s="19">
        <v>2340</v>
      </c>
      <c r="I16" s="8">
        <v>217</v>
      </c>
      <c r="J16" s="28">
        <v>156</v>
      </c>
      <c r="K16" s="29">
        <f t="shared" si="3"/>
        <v>0.71889400921658986</v>
      </c>
      <c r="L16" s="30">
        <f t="shared" si="2"/>
        <v>15</v>
      </c>
      <c r="M16" s="9">
        <v>133</v>
      </c>
      <c r="N16" s="10">
        <f t="shared" si="4"/>
        <v>1.631578947368421</v>
      </c>
    </row>
    <row r="17" spans="1:14" x14ac:dyDescent="0.25">
      <c r="A17" s="4" t="s">
        <v>2</v>
      </c>
      <c r="B17" s="1">
        <v>2000</v>
      </c>
      <c r="C17" s="1">
        <v>218</v>
      </c>
      <c r="D17" s="26">
        <v>117</v>
      </c>
      <c r="E17" s="23">
        <f t="shared" si="0"/>
        <v>17.094017094017094</v>
      </c>
      <c r="F17" s="14" t="s">
        <v>14</v>
      </c>
      <c r="G17" s="37">
        <f t="shared" si="1"/>
        <v>0.53669724770642202</v>
      </c>
      <c r="H17" s="20">
        <v>2500</v>
      </c>
      <c r="I17" s="2">
        <v>210</v>
      </c>
      <c r="J17" s="5">
        <v>170</v>
      </c>
      <c r="K17" s="22">
        <f t="shared" si="3"/>
        <v>0.80952380952380953</v>
      </c>
      <c r="L17" s="23">
        <f t="shared" si="2"/>
        <v>14.705882352941176</v>
      </c>
      <c r="M17" s="5">
        <v>133</v>
      </c>
      <c r="N17" s="7">
        <f t="shared" si="4"/>
        <v>1.5789473684210527</v>
      </c>
    </row>
    <row r="18" spans="1:14" x14ac:dyDescent="0.25">
      <c r="A18" s="4" t="s">
        <v>3</v>
      </c>
      <c r="B18" s="1">
        <v>1900</v>
      </c>
      <c r="C18" s="1">
        <v>168</v>
      </c>
      <c r="D18" s="24">
        <v>161</v>
      </c>
      <c r="E18" s="23">
        <f t="shared" si="0"/>
        <v>11.801242236024844</v>
      </c>
      <c r="G18" s="37">
        <f t="shared" si="1"/>
        <v>0.95833333333333337</v>
      </c>
      <c r="H18" s="20">
        <v>3359</v>
      </c>
      <c r="I18" s="2">
        <v>201</v>
      </c>
      <c r="J18" s="5">
        <v>162</v>
      </c>
      <c r="K18" s="22">
        <f t="shared" si="3"/>
        <v>0.80597014925373134</v>
      </c>
      <c r="L18" s="23">
        <f t="shared" si="2"/>
        <v>20.734567901234566</v>
      </c>
      <c r="M18" s="5">
        <v>133</v>
      </c>
      <c r="N18" s="7">
        <f t="shared" si="4"/>
        <v>1.5112781954887218</v>
      </c>
    </row>
    <row r="19" spans="1:14" x14ac:dyDescent="0.25">
      <c r="A19" s="4" t="s">
        <v>4</v>
      </c>
      <c r="B19" s="1">
        <v>2100</v>
      </c>
      <c r="C19" s="1">
        <v>176</v>
      </c>
      <c r="D19" s="26">
        <v>157</v>
      </c>
      <c r="E19" s="23">
        <f t="shared" si="0"/>
        <v>13.375796178343949</v>
      </c>
      <c r="F19" s="35">
        <f>AVERAGE(E17:E22)</f>
        <v>13.13573132085858</v>
      </c>
      <c r="G19" s="37">
        <f t="shared" si="1"/>
        <v>0.89204545454545459</v>
      </c>
      <c r="H19" s="20">
        <v>3783</v>
      </c>
      <c r="I19" s="2">
        <v>178</v>
      </c>
      <c r="J19" s="5">
        <v>140</v>
      </c>
      <c r="K19" s="22">
        <f t="shared" si="3"/>
        <v>0.7865168539325843</v>
      </c>
      <c r="L19" s="23">
        <f t="shared" si="2"/>
        <v>27.021428571428572</v>
      </c>
      <c r="M19" s="5">
        <v>129</v>
      </c>
      <c r="N19" s="7">
        <f t="shared" si="4"/>
        <v>1.3798449612403101</v>
      </c>
    </row>
    <row r="20" spans="1:14" x14ac:dyDescent="0.25">
      <c r="A20" s="4" t="s">
        <v>5</v>
      </c>
      <c r="B20" s="1">
        <v>2000</v>
      </c>
      <c r="C20" s="1">
        <v>200</v>
      </c>
      <c r="D20" s="24">
        <v>170</v>
      </c>
      <c r="E20" s="23">
        <f t="shared" si="0"/>
        <v>11.764705882352942</v>
      </c>
      <c r="F20" s="14"/>
      <c r="G20" s="37">
        <f t="shared" si="1"/>
        <v>0.85</v>
      </c>
      <c r="H20" s="20">
        <v>5190</v>
      </c>
      <c r="I20" s="2">
        <v>202</v>
      </c>
      <c r="J20" s="5">
        <v>148</v>
      </c>
      <c r="K20" s="22">
        <f t="shared" si="3"/>
        <v>0.73267326732673266</v>
      </c>
      <c r="L20" s="23">
        <f t="shared" si="2"/>
        <v>35.067567567567565</v>
      </c>
      <c r="M20" s="5">
        <v>131</v>
      </c>
      <c r="N20" s="7">
        <f t="shared" si="4"/>
        <v>1.5419847328244274</v>
      </c>
    </row>
    <row r="21" spans="1:14" x14ac:dyDescent="0.25">
      <c r="A21" s="4" t="s">
        <v>6</v>
      </c>
      <c r="B21" s="1">
        <v>2000</v>
      </c>
      <c r="C21" s="1">
        <v>223</v>
      </c>
      <c r="D21" s="24">
        <v>179</v>
      </c>
      <c r="E21" s="23">
        <f t="shared" si="0"/>
        <v>11.173184357541899</v>
      </c>
      <c r="F21" s="14"/>
      <c r="G21" s="37">
        <f t="shared" si="1"/>
        <v>0.80269058295964124</v>
      </c>
      <c r="H21" s="20">
        <v>2778</v>
      </c>
      <c r="I21" s="2">
        <v>223</v>
      </c>
      <c r="J21" s="5">
        <v>173</v>
      </c>
      <c r="K21" s="22">
        <f t="shared" si="3"/>
        <v>0.77578475336322872</v>
      </c>
      <c r="L21" s="23">
        <f t="shared" si="2"/>
        <v>16.057803468208093</v>
      </c>
      <c r="M21" s="5">
        <v>135</v>
      </c>
      <c r="N21" s="7">
        <f t="shared" si="4"/>
        <v>1.6518518518518519</v>
      </c>
    </row>
    <row r="22" spans="1:14" ht="15.75" thickBot="1" x14ac:dyDescent="0.3">
      <c r="A22" s="8" t="s">
        <v>7</v>
      </c>
      <c r="B22" s="8">
        <v>2000</v>
      </c>
      <c r="C22" s="8">
        <v>258</v>
      </c>
      <c r="D22" s="27">
        <v>147</v>
      </c>
      <c r="E22" s="25">
        <f t="shared" si="0"/>
        <v>13.605442176870747</v>
      </c>
      <c r="F22" s="15"/>
      <c r="G22" s="37">
        <f t="shared" si="1"/>
        <v>0.56976744186046513</v>
      </c>
      <c r="H22" s="16">
        <v>2423</v>
      </c>
      <c r="I22" s="8">
        <v>216</v>
      </c>
      <c r="J22" s="28">
        <v>172</v>
      </c>
      <c r="K22" s="29">
        <f t="shared" si="3"/>
        <v>0.79629629629629628</v>
      </c>
      <c r="L22" s="30">
        <f t="shared" si="2"/>
        <v>14.087209302325581</v>
      </c>
      <c r="M22" s="9">
        <v>138</v>
      </c>
      <c r="N22" s="10">
        <f t="shared" si="4"/>
        <v>1.5652173913043479</v>
      </c>
    </row>
    <row r="23" spans="1:14" x14ac:dyDescent="0.25">
      <c r="A23" s="2" t="s">
        <v>8</v>
      </c>
      <c r="B23" s="1">
        <v>2000</v>
      </c>
      <c r="C23" s="1">
        <v>278</v>
      </c>
      <c r="D23" s="24">
        <v>235</v>
      </c>
      <c r="E23" s="23">
        <f t="shared" si="0"/>
        <v>8.5106382978723403</v>
      </c>
      <c r="F23" s="14" t="s">
        <v>15</v>
      </c>
      <c r="G23" s="37">
        <f t="shared" si="1"/>
        <v>0.84532374100719421</v>
      </c>
      <c r="H23" s="20">
        <v>3010</v>
      </c>
      <c r="I23" s="2">
        <v>224</v>
      </c>
      <c r="J23" s="5">
        <v>185</v>
      </c>
      <c r="K23" s="22">
        <f t="shared" si="3"/>
        <v>0.8258928571428571</v>
      </c>
      <c r="L23" s="23">
        <f t="shared" si="2"/>
        <v>16.27027027027027</v>
      </c>
      <c r="M23" s="1">
        <v>150</v>
      </c>
      <c r="N23" s="7">
        <f t="shared" si="4"/>
        <v>1.4933333333333334</v>
      </c>
    </row>
    <row r="24" spans="1:14" x14ac:dyDescent="0.25">
      <c r="A24" s="2" t="s">
        <v>9</v>
      </c>
      <c r="B24" s="1">
        <v>2000</v>
      </c>
      <c r="C24" s="2">
        <v>322</v>
      </c>
      <c r="D24" s="24">
        <v>285</v>
      </c>
      <c r="E24" s="23">
        <f t="shared" si="0"/>
        <v>7.0175438596491224</v>
      </c>
      <c r="F24" s="14"/>
      <c r="G24" s="37">
        <f t="shared" si="1"/>
        <v>0.8850931677018633</v>
      </c>
      <c r="H24" s="20">
        <v>3586</v>
      </c>
      <c r="I24" s="2">
        <v>230</v>
      </c>
      <c r="J24" s="5">
        <v>191</v>
      </c>
      <c r="K24" s="22">
        <f t="shared" si="3"/>
        <v>0.83043478260869563</v>
      </c>
      <c r="L24" s="23">
        <f t="shared" si="2"/>
        <v>18.774869109947645</v>
      </c>
      <c r="M24" s="1">
        <v>151</v>
      </c>
      <c r="N24" s="7">
        <f t="shared" si="4"/>
        <v>1.5231788079470199</v>
      </c>
    </row>
    <row r="25" spans="1:14" x14ac:dyDescent="0.25">
      <c r="A25" s="2" t="s">
        <v>10</v>
      </c>
      <c r="B25" s="1">
        <v>2000</v>
      </c>
      <c r="C25" s="2">
        <v>322</v>
      </c>
      <c r="D25" s="24">
        <v>262</v>
      </c>
      <c r="E25" s="23">
        <f t="shared" si="0"/>
        <v>7.6335877862595423</v>
      </c>
      <c r="F25" s="14"/>
      <c r="G25" s="37">
        <f t="shared" si="1"/>
        <v>0.81366459627329191</v>
      </c>
      <c r="H25" s="20">
        <v>4320</v>
      </c>
      <c r="I25" s="2">
        <v>237</v>
      </c>
      <c r="J25" s="5">
        <v>194</v>
      </c>
      <c r="K25" s="22">
        <f t="shared" si="3"/>
        <v>0.81856540084388185</v>
      </c>
      <c r="L25" s="23">
        <f t="shared" si="2"/>
        <v>22.268041237113401</v>
      </c>
      <c r="M25" s="1">
        <v>163</v>
      </c>
      <c r="N25" s="7">
        <f t="shared" si="4"/>
        <v>1.4539877300613497</v>
      </c>
    </row>
    <row r="26" spans="1:14" x14ac:dyDescent="0.25">
      <c r="A26" s="2" t="s">
        <v>0</v>
      </c>
      <c r="B26" s="1">
        <v>2100</v>
      </c>
      <c r="C26" s="2">
        <v>322</v>
      </c>
      <c r="D26" s="24">
        <v>247</v>
      </c>
      <c r="E26" s="23">
        <f t="shared" si="0"/>
        <v>8.5020242914979764</v>
      </c>
      <c r="F26" s="14"/>
      <c r="G26" s="37">
        <f t="shared" si="1"/>
        <v>0.76708074534161486</v>
      </c>
      <c r="H26" s="20">
        <v>2635</v>
      </c>
      <c r="I26" s="2">
        <v>248</v>
      </c>
      <c r="J26" s="5">
        <v>196</v>
      </c>
      <c r="K26" s="22">
        <f t="shared" si="3"/>
        <v>0.79032258064516125</v>
      </c>
      <c r="L26" s="23">
        <f t="shared" si="2"/>
        <v>13.443877551020408</v>
      </c>
      <c r="M26" s="1">
        <v>165</v>
      </c>
      <c r="N26" s="7">
        <f t="shared" si="4"/>
        <v>1.5030303030303029</v>
      </c>
    </row>
    <row r="27" spans="1:14" x14ac:dyDescent="0.25">
      <c r="A27" s="2" t="s">
        <v>1</v>
      </c>
      <c r="B27" s="1">
        <v>2170</v>
      </c>
      <c r="C27" s="2">
        <v>312</v>
      </c>
      <c r="D27" s="24">
        <v>222</v>
      </c>
      <c r="E27" s="23">
        <f t="shared" si="0"/>
        <v>9.7747747747747749</v>
      </c>
      <c r="F27" s="14"/>
      <c r="G27" s="37">
        <f t="shared" si="1"/>
        <v>0.71153846153846156</v>
      </c>
      <c r="H27" s="11">
        <v>3418</v>
      </c>
      <c r="I27" s="2">
        <v>256</v>
      </c>
      <c r="J27" s="5">
        <v>196</v>
      </c>
      <c r="K27" s="22">
        <f t="shared" si="3"/>
        <v>0.765625</v>
      </c>
      <c r="L27" s="23">
        <f t="shared" si="2"/>
        <v>17.438775510204081</v>
      </c>
      <c r="M27" s="1">
        <v>161</v>
      </c>
      <c r="N27" s="7">
        <f t="shared" si="4"/>
        <v>1.5900621118012421</v>
      </c>
    </row>
    <row r="28" spans="1:14" x14ac:dyDescent="0.25">
      <c r="A28" s="2" t="s">
        <v>20</v>
      </c>
      <c r="B28" s="1">
        <v>2630</v>
      </c>
      <c r="C28" s="2">
        <v>312</v>
      </c>
      <c r="D28" s="24">
        <v>202</v>
      </c>
      <c r="E28" s="23">
        <f t="shared" si="0"/>
        <v>13.01980198019802</v>
      </c>
      <c r="F28" s="35">
        <f>AVERAGE(E23:E34)</f>
        <v>11.217708398792714</v>
      </c>
      <c r="G28" s="37">
        <f t="shared" si="1"/>
        <v>0.64743589743589747</v>
      </c>
      <c r="H28" s="11">
        <v>3429</v>
      </c>
      <c r="I28" s="2">
        <v>307</v>
      </c>
      <c r="J28" s="5">
        <v>218</v>
      </c>
      <c r="K28" s="22">
        <f t="shared" si="3"/>
        <v>0.71009771986970682</v>
      </c>
      <c r="L28" s="23">
        <f t="shared" si="2"/>
        <v>15.729357798165138</v>
      </c>
      <c r="M28" s="1">
        <v>163</v>
      </c>
      <c r="N28" s="7">
        <f t="shared" si="4"/>
        <v>1.8834355828220859</v>
      </c>
    </row>
    <row r="29" spans="1:14" ht="18" customHeight="1" x14ac:dyDescent="0.25">
      <c r="A29" s="2" t="s">
        <v>2</v>
      </c>
      <c r="B29" s="1">
        <v>2700</v>
      </c>
      <c r="C29" s="2">
        <v>312</v>
      </c>
      <c r="D29" s="24">
        <v>199</v>
      </c>
      <c r="E29" s="23">
        <f t="shared" si="0"/>
        <v>13.5678391959799</v>
      </c>
      <c r="F29" s="14"/>
      <c r="G29" s="37">
        <f t="shared" si="1"/>
        <v>0.63782051282051277</v>
      </c>
      <c r="H29" s="11">
        <v>2652</v>
      </c>
      <c r="I29" s="2">
        <v>423</v>
      </c>
      <c r="J29" s="5">
        <v>247</v>
      </c>
      <c r="K29" s="22">
        <f t="shared" si="3"/>
        <v>0.58392434988179664</v>
      </c>
      <c r="L29" s="23">
        <f t="shared" si="2"/>
        <v>10.736842105263158</v>
      </c>
      <c r="M29" s="1">
        <v>179</v>
      </c>
      <c r="N29" s="7">
        <f t="shared" si="4"/>
        <v>2.3631284916201118</v>
      </c>
    </row>
    <row r="30" spans="1:14" x14ac:dyDescent="0.25">
      <c r="A30" s="2" t="s">
        <v>3</v>
      </c>
      <c r="B30" s="1">
        <v>2800</v>
      </c>
      <c r="C30" s="2">
        <v>312</v>
      </c>
      <c r="D30" s="24">
        <v>197</v>
      </c>
      <c r="E30" s="23">
        <f t="shared" si="0"/>
        <v>14.213197969543147</v>
      </c>
      <c r="F30" s="14"/>
      <c r="G30" s="37">
        <f t="shared" si="1"/>
        <v>0.63141025641025639</v>
      </c>
      <c r="H30" s="11">
        <v>3632</v>
      </c>
      <c r="I30" s="2">
        <v>441</v>
      </c>
      <c r="J30" s="5">
        <v>226</v>
      </c>
      <c r="K30" s="22">
        <f t="shared" si="3"/>
        <v>0.51247165532879824</v>
      </c>
      <c r="L30" s="23">
        <f t="shared" si="2"/>
        <v>16.070796460176989</v>
      </c>
      <c r="M30" s="1">
        <v>224</v>
      </c>
      <c r="N30" s="7">
        <f t="shared" si="4"/>
        <v>1.96875</v>
      </c>
    </row>
    <row r="31" spans="1:14" x14ac:dyDescent="0.25">
      <c r="A31" s="2" t="s">
        <v>4</v>
      </c>
      <c r="B31" s="1">
        <v>2500</v>
      </c>
      <c r="C31" s="1">
        <v>312</v>
      </c>
      <c r="D31" s="24">
        <v>195</v>
      </c>
      <c r="E31" s="23">
        <f t="shared" si="0"/>
        <v>12.820512820512821</v>
      </c>
      <c r="F31" s="14"/>
      <c r="G31" s="37">
        <f t="shared" si="1"/>
        <v>0.625</v>
      </c>
      <c r="H31" s="11">
        <v>5346</v>
      </c>
      <c r="I31" s="2">
        <v>528</v>
      </c>
      <c r="J31" s="5">
        <v>347</v>
      </c>
      <c r="K31" s="22">
        <f t="shared" si="3"/>
        <v>0.65719696969696972</v>
      </c>
      <c r="L31" s="23">
        <f t="shared" si="2"/>
        <v>15.406340057636887</v>
      </c>
      <c r="M31" s="1">
        <v>265</v>
      </c>
      <c r="N31" s="7">
        <f t="shared" si="4"/>
        <v>1.9924528301886792</v>
      </c>
    </row>
    <row r="32" spans="1:14" x14ac:dyDescent="0.25">
      <c r="A32" s="2" t="s">
        <v>5</v>
      </c>
      <c r="B32" s="1">
        <v>2500</v>
      </c>
      <c r="C32" s="1">
        <v>312</v>
      </c>
      <c r="D32" s="24">
        <v>193</v>
      </c>
      <c r="E32" s="23">
        <f t="shared" si="0"/>
        <v>12.953367875647668</v>
      </c>
      <c r="F32" s="14"/>
      <c r="G32" s="37">
        <f t="shared" si="1"/>
        <v>0.61858974358974361</v>
      </c>
      <c r="H32" s="11">
        <v>6721</v>
      </c>
      <c r="I32" s="2">
        <v>576</v>
      </c>
      <c r="J32" s="5">
        <v>459</v>
      </c>
      <c r="K32" s="22">
        <f t="shared" si="3"/>
        <v>0.796875</v>
      </c>
      <c r="L32" s="23">
        <f t="shared" si="2"/>
        <v>14.642701525054466</v>
      </c>
      <c r="M32" s="1">
        <v>277</v>
      </c>
      <c r="N32" s="7">
        <f t="shared" si="4"/>
        <v>2.0794223826714799</v>
      </c>
    </row>
    <row r="33" spans="1:17" x14ac:dyDescent="0.25">
      <c r="A33" s="2" t="s">
        <v>6</v>
      </c>
      <c r="B33" s="1">
        <v>3100</v>
      </c>
      <c r="C33" s="1">
        <v>312</v>
      </c>
      <c r="D33" s="24">
        <v>190</v>
      </c>
      <c r="E33" s="23">
        <f t="shared" si="0"/>
        <v>16.315789473684209</v>
      </c>
      <c r="F33" s="14"/>
      <c r="G33" s="37">
        <f t="shared" si="1"/>
        <v>0.60897435897435892</v>
      </c>
      <c r="H33" s="11">
        <v>7696</v>
      </c>
      <c r="I33" s="2">
        <v>535</v>
      </c>
      <c r="J33" s="5">
        <v>408</v>
      </c>
      <c r="K33" s="22">
        <f t="shared" si="3"/>
        <v>0.76261682242990658</v>
      </c>
      <c r="L33" s="23">
        <f t="shared" si="2"/>
        <v>18.862745098039216</v>
      </c>
      <c r="M33" s="1">
        <v>273</v>
      </c>
      <c r="N33" s="7">
        <f t="shared" si="4"/>
        <v>1.9597069597069596</v>
      </c>
    </row>
    <row r="34" spans="1:17" ht="15.75" thickBot="1" x14ac:dyDescent="0.3">
      <c r="A34" s="8" t="s">
        <v>7</v>
      </c>
      <c r="B34" s="8">
        <v>1923</v>
      </c>
      <c r="C34" s="8">
        <v>312</v>
      </c>
      <c r="D34" s="27">
        <v>187</v>
      </c>
      <c r="E34" s="25">
        <f t="shared" si="0"/>
        <v>10.283422459893048</v>
      </c>
      <c r="F34" s="15" t="s">
        <v>11</v>
      </c>
      <c r="G34" s="37">
        <f t="shared" si="1"/>
        <v>0.59935897435897434</v>
      </c>
      <c r="H34" s="16">
        <v>5841</v>
      </c>
      <c r="I34" s="8">
        <v>489</v>
      </c>
      <c r="J34" s="28">
        <v>398</v>
      </c>
      <c r="K34" s="29">
        <f t="shared" si="3"/>
        <v>0.81390593047034765</v>
      </c>
      <c r="L34" s="30">
        <f t="shared" si="2"/>
        <v>14.675879396984925</v>
      </c>
      <c r="M34" s="9">
        <v>297</v>
      </c>
      <c r="N34" s="10">
        <f t="shared" si="4"/>
        <v>1.6464646464646464</v>
      </c>
    </row>
    <row r="35" spans="1:17" x14ac:dyDescent="0.25">
      <c r="B35" s="31" t="s">
        <v>21</v>
      </c>
      <c r="D35" s="6"/>
      <c r="E35" s="38" t="s">
        <v>27</v>
      </c>
      <c r="F35" s="1"/>
      <c r="G35" s="38" t="s">
        <v>27</v>
      </c>
      <c r="H35" s="31" t="s">
        <v>21</v>
      </c>
      <c r="I35"/>
      <c r="J35" s="13"/>
      <c r="K35" s="38" t="s">
        <v>27</v>
      </c>
      <c r="L35" s="38" t="s">
        <v>27</v>
      </c>
      <c r="M35" s="18"/>
      <c r="N35" s="38" t="s">
        <v>27</v>
      </c>
      <c r="Q35" s="1"/>
    </row>
    <row r="36" spans="1:17" x14ac:dyDescent="0.25">
      <c r="B36" s="32">
        <f>SUM(B2:B34)</f>
        <v>61523</v>
      </c>
      <c r="E36" s="34">
        <f>AVERAGE(E2:E34)</f>
        <v>12.862878484783113</v>
      </c>
      <c r="F36" s="33"/>
      <c r="G36" s="39">
        <f>AVERAGE(G2:G34)</f>
        <v>0.7681489863005404</v>
      </c>
      <c r="H36" s="32">
        <f>SUM(H2:H34)</f>
        <v>87179</v>
      </c>
      <c r="I36"/>
      <c r="J36" s="7"/>
      <c r="K36" s="39">
        <f>AVERAGE(K3:K34)</f>
        <v>0.80658104410304199</v>
      </c>
      <c r="L36" s="36">
        <f>AVERAGE(L3:L34)</f>
        <v>17.612365303875158</v>
      </c>
      <c r="M36" s="4"/>
      <c r="N36" s="40">
        <f>AVERAGE(N3:N34)</f>
        <v>1.6275314304526571</v>
      </c>
      <c r="O36" s="17"/>
      <c r="Q36" s="1"/>
    </row>
    <row r="37" spans="1:17" x14ac:dyDescent="0.25">
      <c r="F37" s="1"/>
      <c r="H37" s="14" t="s">
        <v>34</v>
      </c>
      <c r="J37" s="7"/>
      <c r="K37" s="2"/>
      <c r="L37" s="13"/>
      <c r="N37" s="4"/>
      <c r="P37" s="11"/>
    </row>
    <row r="38" spans="1:17" x14ac:dyDescent="0.25">
      <c r="B38" s="1"/>
      <c r="C38" s="6"/>
      <c r="F38" s="35"/>
      <c r="G38" s="22"/>
      <c r="H38" s="35">
        <f>AVERAGE(E12:E16)</f>
        <v>24.49921434150961</v>
      </c>
      <c r="J38" s="11"/>
      <c r="K38" s="2"/>
      <c r="L38" s="13"/>
    </row>
    <row r="39" spans="1:17" x14ac:dyDescent="0.25">
      <c r="H39" s="35">
        <f>AVERAGE(E17:E22)</f>
        <v>13.13573132085858</v>
      </c>
      <c r="L39" s="21"/>
      <c r="M39" s="2"/>
      <c r="N39" s="13"/>
    </row>
    <row r="40" spans="1:17" x14ac:dyDescent="0.25">
      <c r="H40" s="35">
        <f>AVERAGE(E23:E27)</f>
        <v>8.287713802010753</v>
      </c>
      <c r="L40" s="21"/>
      <c r="M40" s="2"/>
      <c r="N40" s="13"/>
    </row>
    <row r="41" spans="1:17" x14ac:dyDescent="0.25">
      <c r="L41" s="21"/>
      <c r="M41" s="2"/>
      <c r="N41" s="13"/>
    </row>
    <row r="42" spans="1:17" x14ac:dyDescent="0.25">
      <c r="L42" s="21"/>
      <c r="N42" s="13"/>
    </row>
    <row r="43" spans="1:17" x14ac:dyDescent="0.25">
      <c r="L43" s="21"/>
      <c r="N43" s="13"/>
    </row>
    <row r="44" spans="1:17" x14ac:dyDescent="0.25">
      <c r="L44" s="21"/>
      <c r="N44" s="13"/>
    </row>
    <row r="45" spans="1:17" x14ac:dyDescent="0.25">
      <c r="C45" s="1"/>
      <c r="E45" s="12"/>
      <c r="L45" s="21"/>
      <c r="N45" s="13"/>
    </row>
    <row r="46" spans="1:17" x14ac:dyDescent="0.25">
      <c r="C46" s="1"/>
      <c r="E46" s="12"/>
      <c r="N46" s="13"/>
    </row>
    <row r="47" spans="1:17" x14ac:dyDescent="0.25">
      <c r="C47" s="1"/>
      <c r="E47" s="12"/>
      <c r="N47" s="13"/>
    </row>
    <row r="48" spans="1:17" x14ac:dyDescent="0.25">
      <c r="C48" s="1"/>
      <c r="E48" s="12"/>
      <c r="N48" s="13"/>
    </row>
    <row r="49" spans="3:14" x14ac:dyDescent="0.25">
      <c r="C49" s="1"/>
      <c r="E49" s="12"/>
      <c r="N49" s="13"/>
    </row>
    <row r="50" spans="3:14" x14ac:dyDescent="0.25">
      <c r="C50" s="1"/>
      <c r="E50" s="12"/>
      <c r="N50" s="13"/>
    </row>
    <row r="51" spans="3:14" x14ac:dyDescent="0.25">
      <c r="C51" s="1"/>
      <c r="E51" s="12"/>
      <c r="N51" s="13"/>
    </row>
    <row r="52" spans="3:14" x14ac:dyDescent="0.25">
      <c r="C52" s="1"/>
      <c r="N52" s="13"/>
    </row>
    <row r="53" spans="3:14" x14ac:dyDescent="0.25">
      <c r="C53" s="1"/>
    </row>
    <row r="54" spans="3:14" x14ac:dyDescent="0.25">
      <c r="C54" s="1"/>
    </row>
    <row r="55" spans="3:14" x14ac:dyDescent="0.25">
      <c r="C55" s="1"/>
    </row>
    <row r="56" spans="3:14" x14ac:dyDescent="0.25">
      <c r="C56" s="1"/>
    </row>
    <row r="57" spans="3:14" x14ac:dyDescent="0.25">
      <c r="C57" s="1"/>
    </row>
    <row r="58" spans="3:14" x14ac:dyDescent="0.25">
      <c r="C58" s="1"/>
    </row>
    <row r="59" spans="3:14" x14ac:dyDescent="0.25">
      <c r="C59" s="1"/>
    </row>
    <row r="60" spans="3:14" x14ac:dyDescent="0.25">
      <c r="C60" s="1"/>
    </row>
    <row r="61" spans="3:14" x14ac:dyDescent="0.25">
      <c r="C61" s="1"/>
    </row>
    <row r="62" spans="3:14" x14ac:dyDescent="0.25">
      <c r="C62" s="1"/>
    </row>
    <row r="63" spans="3:14" x14ac:dyDescent="0.25">
      <c r="C63" s="1"/>
    </row>
    <row r="64" spans="3:14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Вариант 1</vt:lpstr>
      <vt:lpstr>Вариант 2</vt:lpstr>
      <vt:lpstr>Боевое напряжение 30-10-15</vt:lpstr>
      <vt:lpstr>Боевое напряжение 24-10-15</vt:lpstr>
      <vt:lpstr>Боевое напряжение 23-6-15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Valentine Prigarin</dc:creator>
  <cp:lastModifiedBy>Valentine</cp:lastModifiedBy>
  <dcterms:created xsi:type="dcterms:W3CDTF">2014-12-24T14:18:36Z</dcterms:created>
  <dcterms:modified xsi:type="dcterms:W3CDTF">2016-04-11T14:55:47Z</dcterms:modified>
</cp:coreProperties>
</file>