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4900" windowHeight="6920" activeTab="0"/>
  </bookViews>
  <sheets>
    <sheet name="Расчет двухступенчатой раке исх" sheetId="1" r:id="rId1"/>
  </sheets>
  <definedNames>
    <definedName name="solver_adj" localSheetId="0" hidden="1">'Расчет двухступенчатой раке исх'!$F$3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1000</definedName>
    <definedName name="solver_lhs1" localSheetId="0" hidden="1">'Расчет двухступенчатой раке исх'!$E$3</definedName>
    <definedName name="solver_lin" localSheetId="0" hidden="1">2</definedName>
    <definedName name="solver_neg" localSheetId="0" hidden="1">1</definedName>
    <definedName name="solver_num" localSheetId="0" hidden="1">0</definedName>
    <definedName name="solver_nwt" localSheetId="0" hidden="1">1</definedName>
    <definedName name="solver_opt" localSheetId="0" hidden="1">'Расчет двухступенчатой раке исх'!$J$16</definedName>
    <definedName name="solver_pre" localSheetId="0" hidden="1">0.000001</definedName>
    <definedName name="solver_rel1" localSheetId="0" hidden="1">1</definedName>
    <definedName name="solver_rhs1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0.001</definedName>
    <definedName name="solver_typ" localSheetId="0" hidden="1">1</definedName>
    <definedName name="solver_val" localSheetId="0" hidden="1">0</definedName>
  </definedNames>
  <calcPr fullCalcOnLoad="1"/>
</workbook>
</file>

<file path=xl/comments1.xml><?xml version="1.0" encoding="utf-8"?>
<comments xmlns="http://schemas.openxmlformats.org/spreadsheetml/2006/main">
  <authors>
    <author>Mikhail.Morozov</author>
  </authors>
  <commentList>
    <comment ref="Q2" authorId="0">
      <text>
        <r>
          <rPr>
            <sz val="8"/>
            <rFont val="Tahoma"/>
            <family val="2"/>
          </rPr>
          <t>Молярный объем воздуха при температуре старта</t>
        </r>
      </text>
    </comment>
    <comment ref="K3" authorId="0">
      <text>
        <r>
          <rPr>
            <sz val="8"/>
            <rFont val="Tahoma"/>
            <family val="2"/>
          </rPr>
          <t>Значение используется для определения интервала времени. Должно быть больше 0(!!!)</t>
        </r>
      </text>
    </comment>
    <comment ref="N6" authorId="0">
      <text>
        <r>
          <rPr>
            <sz val="8"/>
            <rFont val="Tahoma"/>
            <family val="2"/>
          </rPr>
          <t>Универсальная газовая постоянная</t>
        </r>
      </text>
    </comment>
    <comment ref="P6" authorId="0">
      <text>
        <r>
          <rPr>
            <sz val="8"/>
            <rFont val="Tahoma"/>
            <family val="2"/>
          </rPr>
          <t>Константа находится в пределах 8,31441 с точностью 0,00026. Для воздуха проведена коррекция на 0,000063 с целю совпадения расчетного молярного объема воздуха с известным значением при НУ.</t>
        </r>
      </text>
    </comment>
    <comment ref="Q6" authorId="0">
      <text>
        <r>
          <rPr>
            <sz val="8"/>
            <rFont val="Tahoma"/>
            <family val="2"/>
          </rPr>
          <t>Значение принятое в СИ</t>
        </r>
      </text>
    </comment>
    <comment ref="P7" authorId="0">
      <text>
        <r>
          <rPr>
            <sz val="8"/>
            <rFont val="Tahoma"/>
            <family val="2"/>
          </rPr>
          <t>Для сухого воздуха</t>
        </r>
      </text>
    </comment>
    <comment ref="Q7" authorId="0">
      <text>
        <r>
          <rPr>
            <sz val="8"/>
            <rFont val="Tahoma"/>
            <family val="2"/>
          </rPr>
          <t>Для воды</t>
        </r>
      </text>
    </comment>
    <comment ref="P11" authorId="0">
      <text>
        <r>
          <rPr>
            <sz val="8"/>
            <rFont val="Tahoma"/>
            <family val="2"/>
          </rPr>
          <t>Истечение жидкости через цилиндрическую насадку с плавным входом</t>
        </r>
      </text>
    </comment>
    <comment ref="Q11" authorId="0">
      <text>
        <r>
          <rPr>
            <sz val="8"/>
            <rFont val="Tahoma"/>
            <family val="2"/>
          </rPr>
          <t>Истечение жидкости через узкий кольцевой зазор (взято "от балды").</t>
        </r>
      </text>
    </comment>
    <comment ref="R11" authorId="0">
      <text>
        <r>
          <rPr>
            <sz val="8"/>
            <rFont val="Tahoma"/>
            <family val="2"/>
          </rPr>
          <t>Истечение газа через цилиндрическую насадку. Возможно, при плавном входе коэффициент стремится к 1 (!)</t>
        </r>
      </text>
    </comment>
    <comment ref="J14" authorId="0">
      <text>
        <r>
          <rPr>
            <sz val="8"/>
            <rFont val="Tahoma"/>
            <family val="2"/>
          </rPr>
          <t>В этих ячейках надо проверить диапазон строк в формулах после протягивания формул внизу</t>
        </r>
      </text>
    </comment>
    <comment ref="P16" authorId="0">
      <text>
        <r>
          <rPr>
            <sz val="8"/>
            <rFont val="Tahoma"/>
            <family val="2"/>
          </rPr>
          <t>Площадь миделя ракеты. Мы уверенно пренебрегли стабилизаторами.</t>
        </r>
      </text>
    </comment>
    <comment ref="P17" authorId="0">
      <text>
        <r>
          <rPr>
            <sz val="8"/>
            <rFont val="Tahoma"/>
            <family val="2"/>
          </rPr>
          <t>Площадь сопла</t>
        </r>
      </text>
    </comment>
    <comment ref="P18" authorId="0">
      <text>
        <r>
          <rPr>
            <sz val="8"/>
            <rFont val="Tahoma"/>
            <family val="2"/>
          </rPr>
          <t>Площадь сечения стартового стержня</t>
        </r>
      </text>
    </comment>
    <comment ref="S19" authorId="0">
      <text>
        <r>
          <rPr>
            <sz val="8"/>
            <rFont val="Tahoma"/>
            <family val="2"/>
          </rPr>
          <t>Угол наклона от нормали в градусах.</t>
        </r>
      </text>
    </comment>
    <comment ref="AK19" authorId="0">
      <text>
        <r>
          <rPr>
            <sz val="8"/>
            <rFont val="Tahoma"/>
            <family val="2"/>
          </rPr>
          <t>Сила действующая на тело внутри ракеты.</t>
        </r>
      </text>
    </comment>
    <comment ref="V20" authorId="0">
      <text>
        <r>
          <rPr>
            <sz val="8"/>
            <rFont val="Tahoma"/>
            <family val="2"/>
          </rPr>
          <t>С учетом направления по отношению к вектору силы тяжести.</t>
        </r>
      </text>
    </comment>
    <comment ref="AD20" authorId="0">
      <text>
        <r>
          <rPr>
            <sz val="8"/>
            <rFont val="Tahoma"/>
            <family val="2"/>
          </rPr>
          <t>По модулю</t>
        </r>
      </text>
    </comment>
    <comment ref="A21" authorId="0">
      <text>
        <r>
          <rPr>
            <sz val="8"/>
            <rFont val="Tahoma"/>
            <family val="2"/>
          </rPr>
          <t>Ступень на начало фазы</t>
        </r>
      </text>
    </comment>
    <comment ref="D21" authorId="0">
      <text>
        <r>
          <rPr>
            <sz val="8"/>
            <rFont val="Tahoma"/>
            <family val="2"/>
          </rPr>
          <t>Время на начало фазы</t>
        </r>
      </text>
    </comment>
    <comment ref="E21" authorId="0">
      <text>
        <r>
          <rPr>
            <sz val="8"/>
            <rFont val="Tahoma"/>
            <family val="2"/>
          </rPr>
          <t>Вода в начале фазы. Зависит от массового расхода предыдущей фазы.</t>
        </r>
      </text>
    </comment>
    <comment ref="F21" authorId="0">
      <text>
        <r>
          <rPr>
            <sz val="8"/>
            <rFont val="Tahoma"/>
            <family val="2"/>
          </rPr>
          <t>Воздух в начале фазы. Зависит от массового расхода в предыдущей фазе.</t>
        </r>
      </text>
    </comment>
    <comment ref="G21" authorId="0">
      <text>
        <r>
          <rPr>
            <sz val="8"/>
            <rFont val="Tahoma"/>
            <family val="2"/>
          </rPr>
          <t>Масса в начале фазы</t>
        </r>
      </text>
    </comment>
    <comment ref="H21" authorId="0">
      <text>
        <r>
          <rPr>
            <sz val="8"/>
            <rFont val="Tahoma"/>
            <family val="2"/>
          </rPr>
          <t>Объем в начале фазы</t>
        </r>
      </text>
    </comment>
    <comment ref="I21" authorId="0">
      <text>
        <r>
          <rPr>
            <sz val="8"/>
            <rFont val="Tahoma"/>
            <family val="2"/>
          </rPr>
          <t>Давление в начале фазы. Зависит от эквивалентного объема.</t>
        </r>
      </text>
    </comment>
    <comment ref="J21" authorId="0">
      <text>
        <r>
          <rPr>
            <sz val="8"/>
            <rFont val="Tahoma"/>
            <family val="2"/>
          </rPr>
          <t>Скорость истечения в начале фазы. Условно принимаем, что она действует в течение всей фазы. Это приводит к завышению максимальной высоты. Зависит от давления и скорости звука.</t>
        </r>
      </text>
    </comment>
    <comment ref="K21" authorId="0">
      <text>
        <r>
          <rPr>
            <sz val="8"/>
            <rFont val="Tahoma"/>
            <family val="2"/>
          </rPr>
          <t>Объемный расход за фазу при данной скорости истечения</t>
        </r>
      </text>
    </comment>
    <comment ref="L21" authorId="0">
      <text>
        <r>
          <rPr>
            <sz val="8"/>
            <rFont val="Tahoma"/>
            <family val="2"/>
          </rPr>
          <t>Расход массы для объемного расхода</t>
        </r>
      </text>
    </comment>
    <comment ref="M21" authorId="0">
      <text>
        <r>
          <rPr>
            <sz val="8"/>
            <rFont val="Tahoma"/>
            <family val="2"/>
          </rPr>
          <t>Сила тяжести на начало цикла</t>
        </r>
      </text>
    </comment>
    <comment ref="N21" authorId="0">
      <text>
        <r>
          <rPr>
            <sz val="8"/>
            <rFont val="Tahoma"/>
            <family val="2"/>
          </rPr>
          <t>Сила сопротивления на начало цикла. Зависит от достигнутой на конец предыдущего цикла скорости. При движении вверх отрицательная, вниз - положительная (мешает силе тяжести).</t>
        </r>
      </text>
    </comment>
    <comment ref="O21" authorId="0">
      <text>
        <r>
          <rPr>
            <sz val="8"/>
            <rFont val="Tahoma"/>
            <family val="2"/>
          </rPr>
          <t>Ускорение на начало фазы. По достигнутой на конец предыдущей фазы высоте проверяется сход со стартового стержня.</t>
        </r>
      </text>
    </comment>
    <comment ref="P21" authorId="0">
      <text>
        <r>
          <rPr>
            <sz val="8"/>
            <rFont val="Tahoma"/>
            <family val="2"/>
          </rPr>
          <t>Скорость на конец цикла достигнутая при действующем ускорении</t>
        </r>
      </text>
    </comment>
    <comment ref="Q21" authorId="0">
      <text>
        <r>
          <rPr>
            <sz val="8"/>
            <rFont val="Tahoma"/>
            <family val="2"/>
          </rPr>
          <t>Высота достигнутая в конце фазы</t>
        </r>
      </text>
    </comment>
    <comment ref="S21" authorId="0">
      <text>
        <r>
          <rPr>
            <sz val="8"/>
            <rFont val="Tahoma"/>
            <family val="2"/>
          </rPr>
          <t>Угол наклона на начало фазы. "Защиты от дурака" нет. При кривых углах будут косячные вычисления. Для детального изучения нужно открыть столбцы нажав на "+" вверху листа после снятия защиты.</t>
        </r>
      </text>
    </comment>
    <comment ref="AT21" authorId="0">
      <text>
        <r>
          <rPr>
            <sz val="8"/>
            <rFont val="Tahoma"/>
            <family val="2"/>
          </rPr>
          <t>Температуро на начало фазы. Зависит от эквивалентного объема.</t>
        </r>
      </text>
    </comment>
    <comment ref="AU21" authorId="0">
      <text>
        <r>
          <rPr>
            <sz val="8"/>
            <rFont val="Tahoma"/>
            <family val="2"/>
          </rPr>
          <t>Скорость звука при текущей температуре.</t>
        </r>
      </text>
    </comment>
    <comment ref="AV21" authorId="0">
      <text>
        <r>
          <rPr>
            <sz val="8"/>
            <rFont val="Tahoma"/>
            <family val="2"/>
          </rPr>
          <t>Количество газа в молях на начало фазы. Учитывает потери в фазе пневмовыхлопа.</t>
        </r>
      </text>
    </comment>
    <comment ref="AW21" authorId="0">
      <text>
        <r>
          <rPr>
            <sz val="8"/>
            <rFont val="Tahoma"/>
            <family val="2"/>
          </rPr>
          <t>Масса кубометра газа при условиях на начало фазы</t>
        </r>
      </text>
    </comment>
    <comment ref="AX21" authorId="0">
      <text>
        <r>
          <rPr>
            <sz val="8"/>
            <rFont val="Tahoma"/>
            <family val="2"/>
          </rPr>
          <t>Эквивалентный объем на начало фазы</t>
        </r>
      </text>
    </comment>
    <comment ref="AY21" authorId="0">
      <text>
        <r>
          <rPr>
            <sz val="8"/>
            <rFont val="Tahoma"/>
            <family val="2"/>
          </rPr>
          <t>Ускорение второй ступени вызванное сопротивлением воздуха и силой тяжести на начало фазы</t>
        </r>
      </text>
    </comment>
  </commentList>
</comments>
</file>

<file path=xl/sharedStrings.xml><?xml version="1.0" encoding="utf-8"?>
<sst xmlns="http://schemas.openxmlformats.org/spreadsheetml/2006/main" count="162" uniqueCount="115">
  <si>
    <t>Стартовые параметры</t>
  </si>
  <si>
    <t>Используемые величины</t>
  </si>
  <si>
    <t>Физические константы</t>
  </si>
  <si>
    <t>Объем</t>
  </si>
  <si>
    <t>куб м</t>
  </si>
  <si>
    <t>Плотность РТ</t>
  </si>
  <si>
    <t>кг/куб м</t>
  </si>
  <si>
    <t>Молярный объем газа, НУ</t>
  </si>
  <si>
    <t>Масса воды</t>
  </si>
  <si>
    <t>кг</t>
  </si>
  <si>
    <t>Плотность воздуха, НУ</t>
  </si>
  <si>
    <t>Молярная масса воздуха</t>
  </si>
  <si>
    <t>Масса ракеты</t>
  </si>
  <si>
    <t>Температура пуска</t>
  </si>
  <si>
    <t>цельсий</t>
  </si>
  <si>
    <t>Давление воздуха, НУ</t>
  </si>
  <si>
    <t>Па</t>
  </si>
  <si>
    <t>Масса балласта</t>
  </si>
  <si>
    <t>g</t>
  </si>
  <si>
    <t>м</t>
  </si>
  <si>
    <t>Плотность воздуха</t>
  </si>
  <si>
    <t>R</t>
  </si>
  <si>
    <t>Диаметр сопла</t>
  </si>
  <si>
    <t>k</t>
  </si>
  <si>
    <t>Нач давление</t>
  </si>
  <si>
    <t>Коэффициент расхода</t>
  </si>
  <si>
    <t>Коэфф сопр</t>
  </si>
  <si>
    <t>P*V^k</t>
  </si>
  <si>
    <t>T*V^(k-1)</t>
  </si>
  <si>
    <t>Приращение времени</t>
  </si>
  <si>
    <t>Время</t>
  </si>
  <si>
    <t>Избыточное давление</t>
  </si>
  <si>
    <t>Остаток массы воды</t>
  </si>
  <si>
    <t>Остаток массы воздуха</t>
  </si>
  <si>
    <t>Скорость истечения рабочего тела</t>
  </si>
  <si>
    <t>Объемный расход рабочего тела</t>
  </si>
  <si>
    <t>Сек расх массы рабочего тела</t>
  </si>
  <si>
    <t>Сила тяжести</t>
  </si>
  <si>
    <t>Сила сопротивления воздуха</t>
  </si>
  <si>
    <t>Ускорение</t>
  </si>
  <si>
    <t>Скорость</t>
  </si>
  <si>
    <t>Высота</t>
  </si>
  <si>
    <t>Вспомогательные вычисления</t>
  </si>
  <si>
    <t>Температура газа</t>
  </si>
  <si>
    <t>Скорость звука</t>
  </si>
  <si>
    <t>Кол-во вещества</t>
  </si>
  <si>
    <t>Масса кубометра</t>
  </si>
  <si>
    <t>Эквивалентный объем</t>
  </si>
  <si>
    <t>t</t>
  </si>
  <si>
    <t>Vr</t>
  </si>
  <si>
    <t>Мг</t>
  </si>
  <si>
    <t>Мп</t>
  </si>
  <si>
    <t>Мр</t>
  </si>
  <si>
    <t>Vрт</t>
  </si>
  <si>
    <t>Rv</t>
  </si>
  <si>
    <t>Rm</t>
  </si>
  <si>
    <t>Fg</t>
  </si>
  <si>
    <t>Fc</t>
  </si>
  <si>
    <t>a</t>
  </si>
  <si>
    <t>V</t>
  </si>
  <si>
    <t>H</t>
  </si>
  <si>
    <t>T</t>
  </si>
  <si>
    <t>C</t>
  </si>
  <si>
    <t>N</t>
  </si>
  <si>
    <t>Mуд</t>
  </si>
  <si>
    <t>Vэкв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</si>
  <si>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t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</si>
  <si>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P</t>
    </r>
  </si>
  <si>
    <t>атм</t>
  </si>
  <si>
    <t>Ступень</t>
  </si>
  <si>
    <t>Фаза полета</t>
  </si>
  <si>
    <t>1 ступень</t>
  </si>
  <si>
    <t>2 ступень</t>
  </si>
  <si>
    <t>Толщина стабилизатора</t>
  </si>
  <si>
    <t>Диаметр центральной части</t>
  </si>
  <si>
    <t>Диаметр боковых частей</t>
  </si>
  <si>
    <t>Количество боковых частей</t>
  </si>
  <si>
    <t>Длина проекции стабилизатора</t>
  </si>
  <si>
    <t>Площадь миделя</t>
  </si>
  <si>
    <t>Длина стартового стержня</t>
  </si>
  <si>
    <t>Диаметр стартового стержня</t>
  </si>
  <si>
    <t>Площадь сопла</t>
  </si>
  <si>
    <t>Площадь сечения стержня</t>
  </si>
  <si>
    <t>шт</t>
  </si>
  <si>
    <t>Количество сопел</t>
  </si>
  <si>
    <t>Количество стабилизаторов</t>
  </si>
  <si>
    <t>Давление расцепления</t>
  </si>
  <si>
    <t>Достигнутые параметры</t>
  </si>
  <si>
    <t>м/с/с</t>
  </si>
  <si>
    <t>м/с</t>
  </si>
  <si>
    <t>Масса ракеты стартовая</t>
  </si>
  <si>
    <t>Ускорение 2 ступени</t>
  </si>
  <si>
    <t>a2</t>
  </si>
  <si>
    <t>нач значение 1 ст</t>
  </si>
  <si>
    <t>нач значение 2 ст</t>
  </si>
  <si>
    <t>Задержка пуска 2 ступени</t>
  </si>
  <si>
    <t>сек</t>
  </si>
  <si>
    <t>Пуск второй ступени без задержки</t>
  </si>
  <si>
    <t>Пуск второй ступени по таймеру</t>
  </si>
  <si>
    <t>Пуск второй ступени на максимальной высоте</t>
  </si>
  <si>
    <t>макс</t>
  </si>
  <si>
    <t>раздел</t>
  </si>
  <si>
    <t>Сила сопротивления</t>
  </si>
  <si>
    <t>Сила тяги</t>
  </si>
  <si>
    <t>S</t>
  </si>
  <si>
    <t>Расстояние</t>
  </si>
  <si>
    <t>Угол наклона</t>
  </si>
  <si>
    <t>Проекция</t>
  </si>
  <si>
    <t>F</t>
  </si>
  <si>
    <t>Сила</t>
  </si>
  <si>
    <t>тяга</t>
  </si>
  <si>
    <t>сопр</t>
  </si>
  <si>
    <t>тяж</t>
  </si>
  <si>
    <t>шар</t>
  </si>
  <si>
    <t>x</t>
  </si>
</sst>
</file>

<file path=xl/styles.xml><?xml version="1.0" encoding="utf-8"?>
<styleSheet xmlns="http://schemas.openxmlformats.org/spreadsheetml/2006/main">
  <numFmts count="14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0.00000"/>
    <numFmt numFmtId="165" formatCode="0.000"/>
    <numFmt numFmtId="166" formatCode="#,##0.0000"/>
    <numFmt numFmtId="167" formatCode="0.000000"/>
    <numFmt numFmtId="168" formatCode="0.0000"/>
    <numFmt numFmtId="169" formatCode="#,##0.0"/>
  </numFmts>
  <fonts count="44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Symbol"/>
      <family val="1"/>
    </font>
    <font>
      <sz val="8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14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theme="1"/>
      <name val="Symbol"/>
      <family val="1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 applyProtection="1">
      <alignment horizontal="center"/>
      <protection locked="0"/>
    </xf>
    <xf numFmtId="168" fontId="0" fillId="0" borderId="0" xfId="0" applyNumberFormat="1" applyFill="1" applyAlignment="1" applyProtection="1">
      <alignment/>
      <protection locked="0"/>
    </xf>
    <xf numFmtId="165" fontId="0" fillId="0" borderId="0" xfId="0" applyNumberFormat="1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166" fontId="0" fillId="0" borderId="0" xfId="0" applyNumberFormat="1" applyFill="1" applyAlignment="1" applyProtection="1">
      <alignment/>
      <protection locked="0"/>
    </xf>
    <xf numFmtId="169" fontId="0" fillId="0" borderId="0" xfId="0" applyNumberFormat="1" applyFill="1" applyAlignment="1" applyProtection="1">
      <alignment/>
      <protection locked="0"/>
    </xf>
    <xf numFmtId="165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hidden="1" locked="0"/>
    </xf>
    <xf numFmtId="2" fontId="0" fillId="10" borderId="10" xfId="0" applyNumberFormat="1" applyFill="1" applyBorder="1" applyAlignment="1" applyProtection="1">
      <alignment/>
      <protection locked="0"/>
    </xf>
    <xf numFmtId="2" fontId="0" fillId="10" borderId="11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41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/>
      <protection locked="0"/>
    </xf>
    <xf numFmtId="2" fontId="0" fillId="0" borderId="16" xfId="0" applyNumberForma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2" fontId="0" fillId="34" borderId="0" xfId="0" applyNumberFormat="1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/>
      <protection hidden="1"/>
    </xf>
    <xf numFmtId="165" fontId="0" fillId="35" borderId="0" xfId="0" applyNumberForma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1" fillId="0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4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40" fillId="0" borderId="0" xfId="0" applyFont="1" applyFill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8">
    <dxf>
      <font>
        <color theme="2" tint="-0.7499499917030334"/>
      </font>
      <fill>
        <patternFill>
          <bgColor theme="2" tint="-0.24993999302387238"/>
        </patternFill>
      </fill>
    </dxf>
    <dxf>
      <font>
        <color theme="9" tint="-0.24993999302387238"/>
      </font>
      <fill>
        <patternFill>
          <bgColor theme="9" tint="0.5999600291252136"/>
        </patternFill>
      </fill>
    </dxf>
    <dxf>
      <font>
        <color theme="2" tint="-0.7499499917030334"/>
      </font>
      <fill>
        <patternFill>
          <bgColor theme="2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3" tint="-0.24993999302387238"/>
      </font>
      <fill>
        <patternFill patternType="solid">
          <bgColor theme="3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border/>
    </dxf>
    <dxf>
      <font>
        <color theme="3" tint="-0.24993999302387238"/>
      </font>
      <fill>
        <patternFill patternType="solid">
          <bgColor theme="3" tint="0.5999600291252136"/>
        </patternFill>
      </fill>
      <border/>
    </dxf>
    <dxf>
      <font>
        <color theme="2" tint="-0.7499499917030334"/>
      </font>
      <fill>
        <patternFill>
          <bgColor theme="2" tint="-0.24993999302387238"/>
        </patternFill>
      </fill>
      <border/>
    </dxf>
    <dxf>
      <font>
        <color theme="9" tint="-0.24993999302387238"/>
      </font>
      <fill>
        <patternFill>
          <bgColor theme="9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4</xdr:row>
      <xdr:rowOff>123825</xdr:rowOff>
    </xdr:from>
    <xdr:to>
      <xdr:col>9</xdr:col>
      <xdr:colOff>485775</xdr:colOff>
      <xdr:row>10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3990975" y="885825"/>
          <a:ext cx="2324100" cy="1085850"/>
          <a:chOff x="475" y="87"/>
          <a:chExt cx="281" cy="107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Y30"/>
  <sheetViews>
    <sheetView tabSelected="1" zoomScale="75" zoomScaleNormal="75" workbookViewId="0" topLeftCell="A1">
      <pane xSplit="3" ySplit="22" topLeftCell="D42" activePane="bottomRight" state="frozen"/>
      <selection pane="topLeft" activeCell="A1" sqref="A1"/>
      <selection pane="topRight" activeCell="D1" sqref="D1"/>
      <selection pane="bottomLeft" activeCell="A25" sqref="A25"/>
      <selection pane="bottomRight" activeCell="K43" sqref="K43"/>
    </sheetView>
  </sheetViews>
  <sheetFormatPr defaultColWidth="8.8515625" defaultRowHeight="15" outlineLevelCol="1"/>
  <cols>
    <col min="1" max="1" width="11.421875" style="45" customWidth="1"/>
    <col min="2" max="2" width="12.7109375" style="45" bestFit="1" customWidth="1"/>
    <col min="3" max="3" width="9.28125" style="45" customWidth="1"/>
    <col min="4" max="4" width="7.421875" style="45" customWidth="1"/>
    <col min="5" max="5" width="9.28125" style="45" customWidth="1"/>
    <col min="6" max="6" width="10.140625" style="45" customWidth="1"/>
    <col min="7" max="7" width="7.8515625" style="45" customWidth="1"/>
    <col min="8" max="8" width="10.421875" style="45" bestFit="1" customWidth="1"/>
    <col min="9" max="9" width="8.8515625" style="45" customWidth="1"/>
    <col min="10" max="11" width="10.8515625" style="45" customWidth="1"/>
    <col min="12" max="13" width="8.8515625" style="45" customWidth="1"/>
    <col min="14" max="14" width="12.00390625" style="45" bestFit="1" customWidth="1"/>
    <col min="15" max="15" width="12.421875" style="45" customWidth="1"/>
    <col min="16" max="16" width="8.8515625" style="45" customWidth="1"/>
    <col min="17" max="17" width="12.00390625" style="45" bestFit="1" customWidth="1"/>
    <col min="18" max="18" width="8.140625" style="45" customWidth="1"/>
    <col min="19" max="19" width="8.421875" style="45" customWidth="1" collapsed="1"/>
    <col min="20" max="21" width="8.140625" style="45" hidden="1" customWidth="1" outlineLevel="1"/>
    <col min="22" max="27" width="9.140625" style="22" hidden="1" customWidth="1" outlineLevel="1"/>
    <col min="28" max="30" width="9.140625" style="45" hidden="1" customWidth="1" outlineLevel="1"/>
    <col min="31" max="34" width="9.140625" style="22" hidden="1" customWidth="1" outlineLevel="1"/>
    <col min="35" max="35" width="12.00390625" style="22" hidden="1" customWidth="1" outlineLevel="1"/>
    <col min="36" max="44" width="9.140625" style="22" hidden="1" customWidth="1" outlineLevel="1"/>
    <col min="45" max="45" width="9.28125" style="22" customWidth="1"/>
    <col min="46" max="16384" width="8.8515625" style="45" customWidth="1"/>
  </cols>
  <sheetData>
    <row r="1" spans="1:17" ht="15">
      <c r="A1" s="65" t="s">
        <v>0</v>
      </c>
      <c r="B1" s="65"/>
      <c r="C1" s="65"/>
      <c r="E1" s="45" t="s">
        <v>71</v>
      </c>
      <c r="F1" s="45" t="s">
        <v>72</v>
      </c>
      <c r="H1" s="46" t="s">
        <v>1</v>
      </c>
      <c r="N1" s="18" t="s">
        <v>2</v>
      </c>
      <c r="O1" s="17"/>
      <c r="P1" s="17"/>
      <c r="Q1" s="17"/>
    </row>
    <row r="2" spans="1:45" ht="15">
      <c r="A2" s="54" t="s">
        <v>3</v>
      </c>
      <c r="B2" s="54"/>
      <c r="C2" s="54"/>
      <c r="D2" s="1" t="s">
        <v>4</v>
      </c>
      <c r="E2" s="2">
        <v>0.00627</v>
      </c>
      <c r="F2" s="2">
        <v>0.0059</v>
      </c>
      <c r="H2" s="45" t="s">
        <v>13</v>
      </c>
      <c r="I2" s="46"/>
      <c r="K2" s="45">
        <v>15</v>
      </c>
      <c r="L2" s="45" t="s">
        <v>14</v>
      </c>
      <c r="N2" s="17" t="s">
        <v>7</v>
      </c>
      <c r="O2" s="17"/>
      <c r="P2" s="17">
        <v>0.022413996</v>
      </c>
      <c r="Q2" s="17">
        <f>P3/P10</f>
        <v>0.023644859560325682</v>
      </c>
      <c r="AS2" s="22">
        <f>AS3/AS4</f>
        <v>0.011601307189542482</v>
      </c>
    </row>
    <row r="3" spans="1:45" ht="15">
      <c r="A3" s="54" t="s">
        <v>8</v>
      </c>
      <c r="B3" s="54"/>
      <c r="C3" s="54"/>
      <c r="D3" s="1" t="s">
        <v>9</v>
      </c>
      <c r="E3" s="36">
        <v>0.15</v>
      </c>
      <c r="F3" s="36">
        <v>1.38</v>
      </c>
      <c r="H3" s="45" t="s">
        <v>86</v>
      </c>
      <c r="K3" s="45">
        <v>0.6</v>
      </c>
      <c r="L3" s="45" t="s">
        <v>68</v>
      </c>
      <c r="N3" s="17" t="s">
        <v>11</v>
      </c>
      <c r="O3" s="17"/>
      <c r="P3" s="17">
        <v>0.0289644</v>
      </c>
      <c r="Q3" s="17"/>
      <c r="AS3" s="22">
        <f>0.071</f>
        <v>0.071</v>
      </c>
    </row>
    <row r="4" spans="1:48" ht="15">
      <c r="A4" s="54" t="s">
        <v>12</v>
      </c>
      <c r="B4" s="54"/>
      <c r="C4" s="54"/>
      <c r="D4" s="1" t="s">
        <v>9</v>
      </c>
      <c r="E4" s="3">
        <v>0.1</v>
      </c>
      <c r="F4" s="3">
        <v>0.28</v>
      </c>
      <c r="H4" s="45" t="s">
        <v>95</v>
      </c>
      <c r="K4" s="45">
        <v>3.39</v>
      </c>
      <c r="L4" s="45" t="s">
        <v>96</v>
      </c>
      <c r="N4" s="17" t="s">
        <v>15</v>
      </c>
      <c r="O4" s="17"/>
      <c r="P4" s="17">
        <v>101325</v>
      </c>
      <c r="Q4" s="17" t="s">
        <v>16</v>
      </c>
      <c r="AS4" s="22">
        <f>E2*1000-E3</f>
        <v>6.12</v>
      </c>
      <c r="AV4" s="45">
        <f>O23/P5</f>
        <v>29.43089882462526</v>
      </c>
    </row>
    <row r="5" spans="1:17" ht="15">
      <c r="A5" s="54" t="s">
        <v>17</v>
      </c>
      <c r="B5" s="54"/>
      <c r="C5" s="54"/>
      <c r="D5" s="1" t="s">
        <v>9</v>
      </c>
      <c r="E5" s="7">
        <f>F6</f>
        <v>1.918758260063329</v>
      </c>
      <c r="F5" s="3">
        <v>0.22</v>
      </c>
      <c r="G5" s="3"/>
      <c r="H5" s="14"/>
      <c r="I5" s="14"/>
      <c r="J5" s="14"/>
      <c r="K5" s="14"/>
      <c r="N5" s="17" t="s">
        <v>18</v>
      </c>
      <c r="O5" s="17"/>
      <c r="P5" s="17">
        <v>9.80665</v>
      </c>
      <c r="Q5" s="17"/>
    </row>
    <row r="6" spans="1:47" ht="15">
      <c r="A6" s="54" t="s">
        <v>90</v>
      </c>
      <c r="B6" s="54"/>
      <c r="C6" s="54"/>
      <c r="D6" s="1" t="s">
        <v>9</v>
      </c>
      <c r="E6" s="7">
        <f>E3+E4+E5+(F15+1)*(E2-E3/P8)/Q2*P3</f>
        <v>2.221236258202173</v>
      </c>
      <c r="F6" s="7">
        <f>F3+F4+F5+(F15+1)*(F2-F3/P8)/Q2*P3</f>
        <v>1.918758260063329</v>
      </c>
      <c r="H6" s="14"/>
      <c r="I6" s="14" t="s">
        <v>97</v>
      </c>
      <c r="J6" s="14">
        <v>0</v>
      </c>
      <c r="K6" s="14"/>
      <c r="N6" s="17" t="s">
        <v>21</v>
      </c>
      <c r="O6" s="17"/>
      <c r="P6" s="17">
        <v>8.314473</v>
      </c>
      <c r="Q6" s="17">
        <v>8.31441</v>
      </c>
      <c r="T6" s="45">
        <v>0.412</v>
      </c>
      <c r="AT6" s="48" t="s">
        <v>59</v>
      </c>
      <c r="AU6" s="45">
        <v>24.612</v>
      </c>
    </row>
    <row r="7" spans="1:47" ht="15">
      <c r="A7" s="54" t="s">
        <v>74</v>
      </c>
      <c r="B7" s="54"/>
      <c r="C7" s="54"/>
      <c r="D7" s="1" t="s">
        <v>19</v>
      </c>
      <c r="E7" s="3">
        <v>0.09</v>
      </c>
      <c r="F7" s="3">
        <v>0.09</v>
      </c>
      <c r="G7" s="3"/>
      <c r="H7" s="14">
        <v>1</v>
      </c>
      <c r="I7" s="14" t="s">
        <v>98</v>
      </c>
      <c r="J7" s="14">
        <v>0</v>
      </c>
      <c r="K7" s="14"/>
      <c r="N7" s="17" t="s">
        <v>23</v>
      </c>
      <c r="O7" s="17"/>
      <c r="P7" s="17">
        <v>1.4</v>
      </c>
      <c r="Q7" s="17">
        <v>1.33</v>
      </c>
      <c r="T7" s="45">
        <v>0.727</v>
      </c>
      <c r="U7" s="45">
        <f>T7-$T$6</f>
        <v>0.315</v>
      </c>
      <c r="AT7" s="48" t="s">
        <v>114</v>
      </c>
      <c r="AU7" s="45">
        <v>0.15</v>
      </c>
    </row>
    <row r="8" spans="1:47" ht="15">
      <c r="A8" s="54" t="s">
        <v>75</v>
      </c>
      <c r="B8" s="54"/>
      <c r="C8" s="54"/>
      <c r="D8" s="1" t="s">
        <v>19</v>
      </c>
      <c r="E8" s="3">
        <v>0.103</v>
      </c>
      <c r="F8" s="3">
        <v>0</v>
      </c>
      <c r="H8" s="14">
        <v>1</v>
      </c>
      <c r="I8" s="14" t="s">
        <v>99</v>
      </c>
      <c r="J8" s="14">
        <v>0</v>
      </c>
      <c r="K8" s="14"/>
      <c r="N8" s="17" t="s">
        <v>5</v>
      </c>
      <c r="O8" s="17"/>
      <c r="P8" s="17">
        <v>1000</v>
      </c>
      <c r="Q8" s="17" t="s">
        <v>6</v>
      </c>
      <c r="T8" s="45">
        <v>0.716</v>
      </c>
      <c r="U8" s="45">
        <f>T8-$T$6</f>
        <v>0.304</v>
      </c>
      <c r="AT8" s="48" t="s">
        <v>58</v>
      </c>
      <c r="AU8" s="45">
        <f>-AU6^2/(2*AU7)/P5</f>
        <v>205.89788357899994</v>
      </c>
    </row>
    <row r="9" spans="1:21" ht="15">
      <c r="A9" s="54" t="s">
        <v>76</v>
      </c>
      <c r="B9" s="54"/>
      <c r="C9" s="54"/>
      <c r="D9" s="1" t="s">
        <v>83</v>
      </c>
      <c r="E9" s="4">
        <v>3</v>
      </c>
      <c r="F9" s="4">
        <v>0</v>
      </c>
      <c r="H9" s="14"/>
      <c r="I9" s="14"/>
      <c r="J9" s="14"/>
      <c r="K9" s="14"/>
      <c r="N9" s="17" t="s">
        <v>10</v>
      </c>
      <c r="O9" s="17"/>
      <c r="P9" s="17">
        <f>1/P2*P3</f>
        <v>1.2922461483440972</v>
      </c>
      <c r="Q9" s="17" t="s">
        <v>6</v>
      </c>
      <c r="T9" s="45">
        <v>0.686</v>
      </c>
      <c r="U9" s="45">
        <f>T9-$T$6</f>
        <v>0.2740000000000001</v>
      </c>
    </row>
    <row r="10" spans="1:17" ht="15">
      <c r="A10" s="54" t="s">
        <v>77</v>
      </c>
      <c r="B10" s="54"/>
      <c r="C10" s="54"/>
      <c r="D10" s="1" t="s">
        <v>19</v>
      </c>
      <c r="E10" s="3">
        <v>0</v>
      </c>
      <c r="F10" s="3">
        <v>0.15</v>
      </c>
      <c r="H10" s="14"/>
      <c r="I10" s="14"/>
      <c r="J10" s="14"/>
      <c r="K10" s="14"/>
      <c r="N10" s="17" t="s">
        <v>20</v>
      </c>
      <c r="O10" s="17"/>
      <c r="P10" s="17">
        <f>P4*P3/P6/(273.15+K2)</f>
        <v>1.2249766138852485</v>
      </c>
      <c r="Q10" s="17" t="s">
        <v>6</v>
      </c>
    </row>
    <row r="11" spans="1:47" ht="15.75" thickBot="1">
      <c r="A11" s="54" t="s">
        <v>73</v>
      </c>
      <c r="B11" s="54"/>
      <c r="C11" s="54"/>
      <c r="D11" s="1" t="s">
        <v>19</v>
      </c>
      <c r="E11" s="3">
        <v>0</v>
      </c>
      <c r="F11" s="3">
        <v>0.005</v>
      </c>
      <c r="H11" s="46" t="s">
        <v>87</v>
      </c>
      <c r="N11" s="17" t="s">
        <v>25</v>
      </c>
      <c r="O11" s="17"/>
      <c r="P11" s="17">
        <v>0.95</v>
      </c>
      <c r="Q11" s="17">
        <v>0.5</v>
      </c>
      <c r="R11" s="23">
        <v>0.839</v>
      </c>
      <c r="S11" s="23"/>
      <c r="T11" s="23"/>
      <c r="U11" s="23"/>
      <c r="AU11" s="5"/>
    </row>
    <row r="12" spans="1:47" ht="15.75" thickBot="1">
      <c r="A12" s="54" t="s">
        <v>85</v>
      </c>
      <c r="B12" s="54"/>
      <c r="C12" s="54"/>
      <c r="D12" s="1" t="s">
        <v>19</v>
      </c>
      <c r="E12" s="4">
        <v>0</v>
      </c>
      <c r="F12" s="4">
        <v>3</v>
      </c>
      <c r="H12" s="57"/>
      <c r="I12" s="58"/>
      <c r="J12" s="24" t="s">
        <v>100</v>
      </c>
      <c r="K12" s="24" t="s">
        <v>101</v>
      </c>
      <c r="L12" s="25"/>
      <c r="N12" s="17" t="s">
        <v>27</v>
      </c>
      <c r="O12" s="17" t="s">
        <v>93</v>
      </c>
      <c r="P12" s="17"/>
      <c r="Q12" s="8">
        <f>(E15+1)*P4*H23^P7</f>
        <v>529.0624730145878</v>
      </c>
      <c r="AU12" s="5"/>
    </row>
    <row r="13" spans="1:47" ht="15">
      <c r="A13" s="54" t="s">
        <v>22</v>
      </c>
      <c r="B13" s="54"/>
      <c r="C13" s="54"/>
      <c r="D13" s="1" t="s">
        <v>19</v>
      </c>
      <c r="E13" s="45">
        <v>0.0215</v>
      </c>
      <c r="F13" s="45">
        <v>0.009</v>
      </c>
      <c r="H13" s="59" t="s">
        <v>39</v>
      </c>
      <c r="I13" s="60"/>
      <c r="J13" s="26">
        <f>J14/9.80665</f>
        <v>29.446499257716358</v>
      </c>
      <c r="K13" s="26">
        <f>K14/9.80665</f>
        <v>0</v>
      </c>
      <c r="L13" s="27" t="s">
        <v>18</v>
      </c>
      <c r="N13" s="17" t="s">
        <v>28</v>
      </c>
      <c r="O13" s="17" t="s">
        <v>93</v>
      </c>
      <c r="P13" s="17"/>
      <c r="Q13" s="8">
        <f>(273.15+K2)*H23^(P7-1)</f>
        <v>36.82155623588508</v>
      </c>
      <c r="AU13" s="5"/>
    </row>
    <row r="14" spans="1:47" ht="15">
      <c r="A14" s="54" t="s">
        <v>84</v>
      </c>
      <c r="B14" s="54"/>
      <c r="C14" s="54"/>
      <c r="D14" s="1" t="s">
        <v>19</v>
      </c>
      <c r="E14" s="4">
        <v>3</v>
      </c>
      <c r="F14" s="4">
        <v>1</v>
      </c>
      <c r="H14" s="61"/>
      <c r="I14" s="62"/>
      <c r="J14" s="15">
        <f>MAX(O23:O30)</f>
        <v>288.7715119456841</v>
      </c>
      <c r="K14" s="15">
        <f>SUMIF(A23:A30,"отделение",O23:O30)</f>
        <v>0</v>
      </c>
      <c r="L14" s="28" t="s">
        <v>88</v>
      </c>
      <c r="N14" s="17" t="s">
        <v>27</v>
      </c>
      <c r="O14" s="17" t="s">
        <v>94</v>
      </c>
      <c r="P14" s="17"/>
      <c r="Q14" s="8">
        <f>(F15+1)*P4*(F2-F3/P8)^P7</f>
        <v>369.83538504642814</v>
      </c>
      <c r="AU14" s="5"/>
    </row>
    <row r="15" spans="1:47" ht="15">
      <c r="A15" s="54" t="s">
        <v>24</v>
      </c>
      <c r="B15" s="54"/>
      <c r="C15" s="54"/>
      <c r="D15" s="1" t="s">
        <v>68</v>
      </c>
      <c r="E15" s="6">
        <v>6</v>
      </c>
      <c r="F15" s="6">
        <v>6</v>
      </c>
      <c r="H15" s="63" t="s">
        <v>40</v>
      </c>
      <c r="I15" s="64"/>
      <c r="J15" s="15">
        <f>MAX(P23:P30)</f>
        <v>12.553403070754188</v>
      </c>
      <c r="K15" s="15">
        <f>SUMIF(A23:A30,"отделение",P23:P30)</f>
        <v>0</v>
      </c>
      <c r="L15" s="28" t="s">
        <v>89</v>
      </c>
      <c r="N15" s="17" t="s">
        <v>28</v>
      </c>
      <c r="O15" s="17" t="s">
        <v>94</v>
      </c>
      <c r="P15" s="17"/>
      <c r="Q15" s="8">
        <f>(273.15+K2)*(F2-F3/P8)^(P7-1)</f>
        <v>33.2409936861017</v>
      </c>
      <c r="AS15" s="40" t="e">
        <f>I23-#REF!</f>
        <v>#REF!</v>
      </c>
      <c r="AU15" s="5"/>
    </row>
    <row r="16" spans="1:47" ht="15.75" thickBot="1">
      <c r="A16" s="54" t="s">
        <v>26</v>
      </c>
      <c r="B16" s="54"/>
      <c r="C16" s="54"/>
      <c r="D16" s="1"/>
      <c r="E16" s="45">
        <v>0.6</v>
      </c>
      <c r="F16" s="45">
        <v>0.4</v>
      </c>
      <c r="H16" s="55" t="s">
        <v>41</v>
      </c>
      <c r="I16" s="56"/>
      <c r="J16" s="16">
        <f>MAX(Q23:Q30)</f>
        <v>0.27836912811197445</v>
      </c>
      <c r="K16" s="16">
        <f>SUMIF(A23:A30,"отделение",Q23:Q30)</f>
        <v>0</v>
      </c>
      <c r="L16" s="29" t="s">
        <v>19</v>
      </c>
      <c r="N16" s="17" t="s">
        <v>78</v>
      </c>
      <c r="O16" s="17"/>
      <c r="P16" s="17">
        <f>PI()*E7^2/4+PI()*E8^2/4*E9+E10*E11*E12</f>
        <v>0.031358592469969915</v>
      </c>
      <c r="Q16" s="17">
        <f>PI()*F7^2/4+PI()*F8^2/4*F9+F10*F11*F12</f>
        <v>0.00861172512351933</v>
      </c>
      <c r="AU16" s="5"/>
    </row>
    <row r="17" spans="1:47" ht="15">
      <c r="A17" s="54" t="s">
        <v>79</v>
      </c>
      <c r="B17" s="54"/>
      <c r="C17" s="54"/>
      <c r="D17" s="1" t="s">
        <v>19</v>
      </c>
      <c r="E17" s="45">
        <v>0.3</v>
      </c>
      <c r="F17" s="35">
        <f>IF(E17&gt;E2/0.0015*0.4,"длинноват…","")</f>
      </c>
      <c r="J17" s="30">
        <f>MAX(AH23:AH30)</f>
        <v>0.27541539154444605</v>
      </c>
      <c r="K17" s="30">
        <f>MAX(AI23:AI30)</f>
        <v>0.04112018260773916</v>
      </c>
      <c r="N17" s="17" t="s">
        <v>81</v>
      </c>
      <c r="O17" s="17"/>
      <c r="P17" s="17">
        <f>PI()*E13^2/4*E14</f>
        <v>0.0010891509030914112</v>
      </c>
      <c r="Q17" s="17">
        <f>PI()*F13^2/4*F14</f>
        <v>6.36172512351933E-05</v>
      </c>
      <c r="AU17" s="5"/>
    </row>
    <row r="18" spans="1:47" ht="15">
      <c r="A18" s="54" t="s">
        <v>80</v>
      </c>
      <c r="B18" s="54"/>
      <c r="C18" s="54"/>
      <c r="D18" s="1" t="s">
        <v>19</v>
      </c>
      <c r="E18" s="49">
        <v>0.02</v>
      </c>
      <c r="F18" s="35">
        <f>IF(E18&gt;E13*0.95,"заклинит…","")</f>
      </c>
      <c r="H18" s="45">
        <v>223.50712466826815</v>
      </c>
      <c r="N18" s="17" t="s">
        <v>82</v>
      </c>
      <c r="O18" s="17"/>
      <c r="P18" s="17">
        <f>PI()*E18^2/4*E14</f>
        <v>0.0009424777960769379</v>
      </c>
      <c r="Q18" s="17"/>
      <c r="AU18" s="5"/>
    </row>
    <row r="19" spans="1:51" s="17" customFormat="1" ht="15" customHeight="1">
      <c r="A19" s="51" t="s">
        <v>69</v>
      </c>
      <c r="B19" s="51" t="s">
        <v>70</v>
      </c>
      <c r="C19" s="51" t="s">
        <v>29</v>
      </c>
      <c r="D19" s="51" t="s">
        <v>30</v>
      </c>
      <c r="E19" s="51" t="s">
        <v>32</v>
      </c>
      <c r="F19" s="51" t="s">
        <v>33</v>
      </c>
      <c r="G19" s="51" t="s">
        <v>12</v>
      </c>
      <c r="H19" s="51" t="s">
        <v>3</v>
      </c>
      <c r="I19" s="51" t="s">
        <v>31</v>
      </c>
      <c r="J19" s="51" t="s">
        <v>34</v>
      </c>
      <c r="K19" s="51" t="s">
        <v>35</v>
      </c>
      <c r="L19" s="51" t="s">
        <v>36</v>
      </c>
      <c r="M19" s="51" t="s">
        <v>37</v>
      </c>
      <c r="N19" s="51" t="s">
        <v>38</v>
      </c>
      <c r="O19" s="51" t="s">
        <v>39</v>
      </c>
      <c r="P19" s="51" t="s">
        <v>40</v>
      </c>
      <c r="Q19" s="51" t="s">
        <v>41</v>
      </c>
      <c r="S19" s="51" t="s">
        <v>106</v>
      </c>
      <c r="T19" s="51" t="s">
        <v>107</v>
      </c>
      <c r="U19" s="51"/>
      <c r="V19" s="52" t="s">
        <v>102</v>
      </c>
      <c r="W19" s="52"/>
      <c r="X19" s="52"/>
      <c r="Y19" s="52" t="s">
        <v>103</v>
      </c>
      <c r="Z19" s="52"/>
      <c r="AA19" s="52"/>
      <c r="AB19" s="53" t="s">
        <v>39</v>
      </c>
      <c r="AC19" s="53"/>
      <c r="AD19" s="53"/>
      <c r="AE19" s="52" t="s">
        <v>40</v>
      </c>
      <c r="AF19" s="52"/>
      <c r="AG19" s="52"/>
      <c r="AH19" s="52" t="s">
        <v>105</v>
      </c>
      <c r="AI19" s="52"/>
      <c r="AJ19" s="52"/>
      <c r="AK19" s="41" t="s">
        <v>109</v>
      </c>
      <c r="AL19" s="41" t="s">
        <v>110</v>
      </c>
      <c r="AM19" s="41" t="s">
        <v>111</v>
      </c>
      <c r="AN19" s="41" t="s">
        <v>112</v>
      </c>
      <c r="AO19" s="41" t="s">
        <v>113</v>
      </c>
      <c r="AP19" s="41"/>
      <c r="AQ19" s="41"/>
      <c r="AR19" s="41"/>
      <c r="AS19" s="32"/>
      <c r="AT19" s="50" t="s">
        <v>42</v>
      </c>
      <c r="AU19" s="50"/>
      <c r="AV19" s="50"/>
      <c r="AW19" s="50"/>
      <c r="AX19" s="50"/>
      <c r="AY19" s="50"/>
    </row>
    <row r="20" spans="1:51" s="17" customFormat="1" ht="60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S20" s="51"/>
      <c r="T20" s="33" t="s">
        <v>21</v>
      </c>
      <c r="U20" s="33" t="s">
        <v>61</v>
      </c>
      <c r="V20" s="33" t="s">
        <v>21</v>
      </c>
      <c r="W20" s="33" t="s">
        <v>61</v>
      </c>
      <c r="X20" s="34" t="s">
        <v>104</v>
      </c>
      <c r="Y20" s="33" t="s">
        <v>21</v>
      </c>
      <c r="Z20" s="33" t="s">
        <v>61</v>
      </c>
      <c r="AA20" s="34" t="s">
        <v>104</v>
      </c>
      <c r="AB20" s="43" t="s">
        <v>21</v>
      </c>
      <c r="AC20" s="43" t="s">
        <v>61</v>
      </c>
      <c r="AD20" s="38" t="s">
        <v>104</v>
      </c>
      <c r="AE20" s="33" t="s">
        <v>21</v>
      </c>
      <c r="AF20" s="33" t="s">
        <v>61</v>
      </c>
      <c r="AG20" s="34" t="s">
        <v>104</v>
      </c>
      <c r="AH20" s="33" t="s">
        <v>21</v>
      </c>
      <c r="AI20" s="33" t="s">
        <v>61</v>
      </c>
      <c r="AJ20" s="34" t="s">
        <v>104</v>
      </c>
      <c r="AK20" s="33" t="s">
        <v>108</v>
      </c>
      <c r="AL20" s="33"/>
      <c r="AM20" s="33"/>
      <c r="AN20" s="33"/>
      <c r="AO20" s="33"/>
      <c r="AP20" s="33"/>
      <c r="AQ20" s="33"/>
      <c r="AR20" s="33"/>
      <c r="AS20" s="32"/>
      <c r="AT20" s="42" t="s">
        <v>43</v>
      </c>
      <c r="AU20" s="42" t="s">
        <v>44</v>
      </c>
      <c r="AV20" s="42" t="s">
        <v>45</v>
      </c>
      <c r="AW20" s="42" t="s">
        <v>46</v>
      </c>
      <c r="AX20" s="42" t="s">
        <v>47</v>
      </c>
      <c r="AY20" s="42" t="s">
        <v>91</v>
      </c>
    </row>
    <row r="21" spans="1:51" s="44" customFormat="1" ht="15">
      <c r="A21" s="17"/>
      <c r="C21" s="44" t="s">
        <v>66</v>
      </c>
      <c r="D21" s="44" t="s">
        <v>48</v>
      </c>
      <c r="E21" s="44" t="s">
        <v>50</v>
      </c>
      <c r="F21" s="44" t="s">
        <v>51</v>
      </c>
      <c r="G21" s="44" t="s">
        <v>52</v>
      </c>
      <c r="H21" s="44" t="s">
        <v>49</v>
      </c>
      <c r="I21" s="44" t="s">
        <v>67</v>
      </c>
      <c r="J21" s="44" t="s">
        <v>53</v>
      </c>
      <c r="K21" s="44" t="s">
        <v>54</v>
      </c>
      <c r="L21" s="44" t="s">
        <v>55</v>
      </c>
      <c r="M21" s="44" t="s">
        <v>56</v>
      </c>
      <c r="N21" s="44" t="s">
        <v>57</v>
      </c>
      <c r="O21" s="44" t="s">
        <v>58</v>
      </c>
      <c r="P21" s="44" t="s">
        <v>59</v>
      </c>
      <c r="Q21" s="44" t="s">
        <v>60</v>
      </c>
      <c r="S21" s="21" t="s">
        <v>58</v>
      </c>
      <c r="T21" s="21"/>
      <c r="U21" s="21"/>
      <c r="AT21" s="44" t="s">
        <v>61</v>
      </c>
      <c r="AU21" s="44" t="s">
        <v>62</v>
      </c>
      <c r="AV21" s="44" t="s">
        <v>63</v>
      </c>
      <c r="AW21" s="44" t="s">
        <v>64</v>
      </c>
      <c r="AX21" s="44" t="s">
        <v>65</v>
      </c>
      <c r="AY21" s="44" t="s">
        <v>92</v>
      </c>
    </row>
    <row r="22" spans="1:50" ht="15">
      <c r="A22" s="45" t="s">
        <v>71</v>
      </c>
      <c r="C22" s="3">
        <v>0.01</v>
      </c>
      <c r="O22" s="23"/>
      <c r="P22" s="19">
        <v>0</v>
      </c>
      <c r="Q22" s="20">
        <v>0</v>
      </c>
      <c r="S22" s="45">
        <v>8</v>
      </c>
      <c r="AE22" s="31"/>
      <c r="AF22" s="31"/>
      <c r="AG22" s="31"/>
      <c r="AH22" s="31"/>
      <c r="AI22" s="31"/>
      <c r="AJ22" s="31"/>
      <c r="AK22" s="37"/>
      <c r="AL22" s="37"/>
      <c r="AM22" s="37"/>
      <c r="AN22" s="37"/>
      <c r="AO22" s="37"/>
      <c r="AP22" s="37"/>
      <c r="AQ22" s="37"/>
      <c r="AR22" s="37"/>
      <c r="AX22" s="45">
        <f>E2-E3/P8</f>
        <v>0.0061200000000000004</v>
      </c>
    </row>
    <row r="23" spans="1:51" s="17" customFormat="1" ht="15">
      <c r="A23" s="17" t="str">
        <f>IF($H$7=3,"1 ступень",IF(OR(A22="отделение",A22="2 ступень"),"2 ступень",IF($H$7=1,IF(I23&lt;$K$3*$P$4,"отделение","1 ступень"),IF(AY23&gt;O23,"отделение","1 ступень"))))</f>
        <v>1 ступень</v>
      </c>
      <c r="B23" s="13" t="str">
        <f>IF(A23="отделение","отделение",IF(Q22&gt;=$E$17,IF(E23&gt;0,IF(J23&gt;0,"разгон","полет"),IF(I23&gt;0,"выхлоп","торможение")),"старт"))</f>
        <v>старт</v>
      </c>
      <c r="C23" s="17">
        <f>IF(AND(I23&gt;$P$4,E23=0),$C$22/10,$C$22)</f>
        <v>0.01</v>
      </c>
      <c r="D23" s="7">
        <v>0</v>
      </c>
      <c r="E23" s="9">
        <f>E3</f>
        <v>0.15</v>
      </c>
      <c r="F23" s="10">
        <f>AV23*$P$3</f>
        <v>0.05005352029431331</v>
      </c>
      <c r="G23" s="11">
        <f>SUM(IF(A22="1 ступень",$E$4:$E$5,$F$4:$F$5),E23:F23)</f>
        <v>2.218811780357642</v>
      </c>
      <c r="H23" s="10">
        <f>E2-E3/P8-IF(Q22&lt;=$E$17,P18*($E$17-Q22),0)</f>
        <v>0.0058372566611769195</v>
      </c>
      <c r="I23" s="12">
        <f>E15*P4</f>
        <v>607950</v>
      </c>
      <c r="J23" s="17">
        <f>IF(E23=0,MIN(SQRT(I23)*SQRT(2/($P$10*(I23/$P$4+1))),AU23),SQRT(2*I23/$P$8))</f>
        <v>34.8697576705087</v>
      </c>
      <c r="K23" s="17">
        <f>IF(Q22&lt;$E$17,($P$17-$P$18)*$Q$11,IF(A22="1 ступень",$P$17,$Q$17)*IF(E23&gt;0,$P$11,$R$11))*J23</f>
        <v>0.0025572278491876365</v>
      </c>
      <c r="L23" s="17">
        <f>K23*IF(E23=0,AW23,$P$8)</f>
        <v>2.5572278491876363</v>
      </c>
      <c r="M23" s="9">
        <f>$P$5*G23</f>
        <v>21.75911054584427</v>
      </c>
      <c r="N23" s="17">
        <f>IF(P22&gt;0,-1,1)*IF(A22="1 ступень",$E$16*$P$16,$F$16*$Q$16)*$P$10*P22^2/2</f>
        <v>0</v>
      </c>
      <c r="O23" s="17">
        <f>(IF(Q22&lt;$E$17,$P$18*I23,0)+L23*J23)/G23-(M23-N23)/G23</f>
        <v>288.6185239585113</v>
      </c>
      <c r="P23" s="17">
        <f>P22+O23*C23</f>
        <v>2.886185239585113</v>
      </c>
      <c r="Q23" s="17">
        <f>MAX(Q22+P22*C23+O23*C23^2/2,0)</f>
        <v>0.014430926197925565</v>
      </c>
      <c r="S23" s="17">
        <f>S22</f>
        <v>8</v>
      </c>
      <c r="T23" s="17">
        <f>COS(S23*PI()/180)</f>
        <v>0.9902680687415704</v>
      </c>
      <c r="U23" s="17">
        <f>SIN(S23*PI()/180)</f>
        <v>0.13917310096006544</v>
      </c>
      <c r="V23" s="32">
        <f>X23*$T23</f>
        <v>0</v>
      </c>
      <c r="W23" s="32">
        <f>X23*$U23</f>
        <v>0</v>
      </c>
      <c r="X23" s="32">
        <f>IF(AE22&gt;0,-1,1)*IF(A22="1 ступень",$E$16*$P$16,$F$16*$Q$16)*$P$10*AG22^2/2</f>
        <v>0</v>
      </c>
      <c r="Y23" s="32">
        <f>AA23*$T23</f>
        <v>655.7053001463926</v>
      </c>
      <c r="Z23" s="32">
        <f>AA23*$U23</f>
        <v>92.15337020135613</v>
      </c>
      <c r="AA23" s="32">
        <f>IF(AJ22&lt;$E$17,$P$18*I23,0)+L23*J23</f>
        <v>662.1492915344235</v>
      </c>
      <c r="AB23" s="17">
        <f>Y23/G23-(M23-V23)/G23</f>
        <v>285.71427067976214</v>
      </c>
      <c r="AC23" s="17">
        <f>Z23/G23+W23/G23</f>
        <v>41.53275686435298</v>
      </c>
      <c r="AD23" s="17">
        <f>SQRT(AB23^2+AC23^2)</f>
        <v>288.7171875085061</v>
      </c>
      <c r="AE23" s="32">
        <f>AE22+AB23*C23</f>
        <v>2.8571427067976214</v>
      </c>
      <c r="AF23" s="32">
        <f>AF22+AC23*C23</f>
        <v>0.4153275686435298</v>
      </c>
      <c r="AG23" s="32">
        <f>SQRT(AE23^2+AF23^2)</f>
        <v>2.887171875085061</v>
      </c>
      <c r="AH23" s="32">
        <f>MAX(AH22+AE22*C23+AB23*C23^2/2,0)</f>
        <v>0.014285713533988107</v>
      </c>
      <c r="AI23" s="32">
        <f>IF(AH23=0,0,AI22+AF22*C23+AC23*C23^2/2)</f>
        <v>0.0020766378432176495</v>
      </c>
      <c r="AJ23" s="32">
        <f>SQRT(AH23^2+AI23^2)</f>
        <v>0.014435859375425304</v>
      </c>
      <c r="AK23" s="39">
        <f>(ABS(X23/G23)-(IF(AH22&lt;$E$17,$P$18*I23,0)+L23*J23)/G23)/$P$5+IF(AH23&gt;0,0,1)</f>
        <v>-30.430898824625256</v>
      </c>
      <c r="AL23" s="32">
        <f>-((IF(Q22&lt;$E$17,$P$18*I23,0)+L23*J23)/G23)/$P$5</f>
        <v>-30.430898824625256</v>
      </c>
      <c r="AM23" s="32">
        <f>ABS(N23/G23/$P$5)</f>
        <v>0</v>
      </c>
      <c r="AN23" s="32">
        <f>M23*T23/G23/$P$5</f>
        <v>0.9902680687415703</v>
      </c>
      <c r="AO23" s="32">
        <f>AN23</f>
        <v>0.9902680687415703</v>
      </c>
      <c r="AP23" s="32">
        <f>AL23+AM23+AN23</f>
        <v>-29.440630755883685</v>
      </c>
      <c r="AQ23" s="32">
        <f>AP23-AO23</f>
        <v>-30.430898824625256</v>
      </c>
      <c r="AR23" s="32">
        <f>(ABS(N23/G23)+M23*T23/G23-(IF(Q22&lt;$E$17,$P$18*I23,0)+L23*J23)/G23)/$P$5</f>
        <v>-29.44063075588369</v>
      </c>
      <c r="AS23" s="32"/>
      <c r="AT23" s="8">
        <f>IF(A22&lt;&gt;A21,$K$2,IF(A22="1 ступень",$Q$13,$Q$15)/AX23^($P$7-1)-273.15)</f>
        <v>15</v>
      </c>
      <c r="AU23" s="17">
        <f>SQRT($P$7*$P$6*(AT23+273.15)/$P$3)</f>
        <v>340.2972388162298</v>
      </c>
      <c r="AV23" s="17">
        <f>(E15+1)*H23/Q2</f>
        <v>1.7281048561100283</v>
      </c>
      <c r="AW23" s="17">
        <f>AV23*$P$3/H23</f>
        <v>8.574836297196741</v>
      </c>
      <c r="AX23" s="17">
        <f>IF(A22="отделение",$F$2-$F$3/$P$8,IF(E22&gt;0,H23,AX22^2/(AX22-K22*C22)))</f>
        <v>0.0061200000000000004</v>
      </c>
      <c r="AY23" s="17">
        <f>-($P$5*$F$6-IF(P22&gt;0,-1,1)*$F$16*$P$10*P22^2*$Q$16/2)/$F$6</f>
        <v>-9.80665</v>
      </c>
    </row>
    <row r="24" spans="1:51" s="17" customFormat="1" ht="15">
      <c r="A24" s="17" t="str">
        <f>IF($H$7=3,"1 ступень",IF(OR(A23="отделение",A23="2 ступень"),"2 ступень",IF($H$7=1,IF(I24&lt;$K$3*$P$4,"отделение","1 ступень"),IF(AY24&gt;O24,"отделение","1 ступень"))))</f>
        <v>1 ступень</v>
      </c>
      <c r="B24" s="13" t="str">
        <f>IF(A24="отделение","отделение",IF(Q23&gt;=$E$17,IF(E24&gt;0,IF(J24&gt;0,"разгон","полет"),IF(I24&gt;0,"выхлоп","торможение")),"старт"))</f>
        <v>старт</v>
      </c>
      <c r="C24" s="47">
        <f>IF(A24="отделение",0,IF(OR(AND(Q23&gt;$E$17*0.7,Q23&lt;$E$17),AND(I23&gt;$P$4*$K$3,E24=0)),$C$22/10,IF(E24&lt;L23*C23,IF(B23="выхлоп",$C$22,ROUNDUP(E24/L23,3)),$C$22)))</f>
        <v>0.01</v>
      </c>
      <c r="D24" s="7">
        <f>D23+C24</f>
        <v>0.01</v>
      </c>
      <c r="E24" s="9">
        <f>IF(A23="отделение",$F$3,MAX(IF(E23&lt;L23*C23,0,E23-L23*C23),0))</f>
        <v>0.12442772150812363</v>
      </c>
      <c r="F24" s="10">
        <f>IF(A23="отделение",($F$15+1)*($F$2-$F$3/$P$8)/$Q$2*$P$3,IF(E23=0,MAX(F23-L23*C23,0),F23))</f>
        <v>0.05005352029431331</v>
      </c>
      <c r="G24" s="11">
        <f>SUM(IF(A23="1 ступень",$E$4:$E$5,$F$4:$F$5),E24:F24)</f>
        <v>2.193239501865766</v>
      </c>
      <c r="H24" s="10">
        <f>IF(A23="отделение",$F$2-$F$3/$P$8,IF(E24=0,IF(A23="1 ступень",$E$2,$F$2),H23+K23*$C$22)+IF(Q23&lt;=$E$17,$P$18*(Q23-Q22),0))</f>
        <v>0.005876429767187165</v>
      </c>
      <c r="I24" s="12">
        <f>IF(A23="отделение",$F$15*$P$4,MAX(IF(A23="1 ступень",$Q$12,$Q$14)/AX24^$P$7-$P$4,0))</f>
        <v>601339.4594900175</v>
      </c>
      <c r="J24" s="17">
        <f>IF(A23="отделение",IF($H$8&gt;1,0,IF(E24=0,MIN(SQRT(I24)*SQRT(2/($P$10*(I24/$P$4+1))),AU24),SQRT(2*I24/$P$8))),IF(B23="полет",IF($H$8=2,IF(D24&lt;$K$4,0,IF(E24=0,MIN(SQRT(I24)*SQRT(2/($P$10*(I24/$P$4+1))),AU24),SQRT(2*I24/$P$8))),IF(Q23&gt;Q22,0,IF(E24=0,MIN(SQRT(I24)*SQRT(2/($P$10*(I24/$P$4+1))),AU24),SQRT(2*I24/$P$8)))),IF(E24=0,MIN(SQRT(I24)*SQRT(2/($P$10*(I24/$P$4+1))),AU24),SQRT(2*I24/$P$8))))</f>
        <v>34.67966145999748</v>
      </c>
      <c r="K24" s="17">
        <f>IF(Q23&lt;$E$17,($P$17-$P$18)*$Q$11,IF(A23="1 ступень",$P$17,$Q$17)*IF(E24&gt;0,$P$11,$R$11))*J24</f>
        <v>0.002543286848273958</v>
      </c>
      <c r="L24" s="17">
        <f>K24*IF(E24=0,AW24,$P$8)</f>
        <v>2.543286848273958</v>
      </c>
      <c r="M24" s="9">
        <f>$P$5*G24</f>
        <v>21.508332160971914</v>
      </c>
      <c r="N24" s="17">
        <f>IF(P23&gt;0,-1,1)*IF(A23="1 ступень",$E$16*$P$16,$F$16*$Q$16)*$P$10*P23^2/2</f>
        <v>-0.09599619430533096</v>
      </c>
      <c r="O24" s="17">
        <f>(IF(Q23&lt;$E$17,$P$18*I24,0)+L24*J24)/G24-(M24-N24)/G24</f>
        <v>288.7715119456841</v>
      </c>
      <c r="P24" s="17">
        <f>IF(Q23=0,0,P23+O24*C24)</f>
        <v>5.773900359041954</v>
      </c>
      <c r="Q24" s="17">
        <f>MAX(Q23+P23*C24+O24*C24^2/2,0)</f>
        <v>0.0577313541910609</v>
      </c>
      <c r="S24" s="17">
        <f>IF(AJ23&lt;($E$17-0.4),S23,IF(AH23=0,S23,ATAN(AF23/AE23)*180/PI()+IF(AE23&lt;0,180,0)))</f>
        <v>8.270849221115691</v>
      </c>
      <c r="T24" s="17">
        <f>COS(S24*PI()/180)</f>
        <v>0.9895991061195294</v>
      </c>
      <c r="U24" s="17">
        <f>SIN(S24*PI()/180)</f>
        <v>0.14385273430640277</v>
      </c>
      <c r="V24" s="32">
        <f>X24*$T24</f>
        <v>-0.09506270868139213</v>
      </c>
      <c r="W24" s="32">
        <f>X24*$U24</f>
        <v>-0.013818758010013322</v>
      </c>
      <c r="X24" s="32">
        <f>IF(AE23&gt;0,-1,1)*IF(A23="1 ступень",$E$16*$P$16,$F$16*$Q$16)*$P$10*AG23^2/2</f>
        <v>-0.09606183766086579</v>
      </c>
      <c r="Y24" s="32">
        <f>AA24*$T24</f>
        <v>648.1373560017341</v>
      </c>
      <c r="Z24" s="32">
        <f>AA24*$U24</f>
        <v>94.21626423307444</v>
      </c>
      <c r="AA24" s="32">
        <f>IF(AJ23&lt;$E$17,$P$18*I24,0)+L24*J24</f>
        <v>654.9494153680536</v>
      </c>
      <c r="AB24" s="17">
        <f>IF(AH23=0,0,Y24/G24-(M24-V24)/G24)</f>
        <v>285.66600254969643</v>
      </c>
      <c r="AC24" s="17">
        <f>IF(AH23=0,0,Z24/G24+W24/G24)</f>
        <v>42.951280694574116</v>
      </c>
      <c r="AD24" s="17">
        <f>SQRT(AB24^2+AC24^2)</f>
        <v>288.87692453020065</v>
      </c>
      <c r="AE24" s="32">
        <f>IF(AH23=0,0,AE23+AB24*C24)</f>
        <v>5.713802732294585</v>
      </c>
      <c r="AF24" s="32">
        <f>IF(AH23=0,0,AF23+AC24*C24)</f>
        <v>0.844840375589271</v>
      </c>
      <c r="AG24" s="32">
        <f>SQRT(AE24^2+AF24^2)</f>
        <v>5.77592390218248</v>
      </c>
      <c r="AH24" s="32">
        <f>MAX(AH23+AE23*C24+AB24*C24^2/2,0)</f>
        <v>0.05714044072944914</v>
      </c>
      <c r="AI24" s="32">
        <f>IF(AH24=0,0,AI23+AF23*C24+AC24*C24^2/2)</f>
        <v>0.008377477564381654</v>
      </c>
      <c r="AJ24" s="32">
        <f>SQRT(AH24^2+AI24^2)</f>
        <v>0.057751295198440425</v>
      </c>
      <c r="AK24" s="39">
        <f>(ABS(X24/G24)-(IF(AH23&lt;$E$17,$P$18*I24,0)+L24*J24)/G24)/$P$5+IF(AH24&gt;0,0,1)</f>
        <v>-30.44649620571981</v>
      </c>
      <c r="AL24" s="32">
        <f>-((IF(Q23&lt;$E$17,$P$18*I24,0)+L24*J24)/G24)/$P$5</f>
        <v>-30.45096246730355</v>
      </c>
      <c r="AM24" s="32">
        <f>ABS(N24/G24/$P$5)</f>
        <v>0.0044632095871906564</v>
      </c>
      <c r="AN24" s="32">
        <f>M24*T24/G24/$P$5</f>
        <v>0.9895991061195294</v>
      </c>
      <c r="AO24" s="32">
        <f>AN24</f>
        <v>0.9895991061195294</v>
      </c>
      <c r="AP24" s="32">
        <f>AL24+AM24+AN24</f>
        <v>-29.45690015159683</v>
      </c>
      <c r="AQ24" s="32">
        <f>AP24-AO24</f>
        <v>-30.44649925771636</v>
      </c>
      <c r="AR24" s="32">
        <f>(ABS(N24/G24)+M24*T24/G24-(IF(Q23&lt;$E$17,$P$18*I24,0)+L24*J24)/G24)/$P$5</f>
        <v>-29.456900151596834</v>
      </c>
      <c r="AS24" s="32"/>
      <c r="AT24" s="8">
        <f>IF(A23="отделение",$K$2,IF(A23="1 ступень",$Q$13,$Q$15)/AX24^($P$7-1)-273.15)</f>
        <v>14.230118610859392</v>
      </c>
      <c r="AU24" s="17">
        <f>SQRT($P$7*$P$6*(AT24+273.15)/$P$3)</f>
        <v>339.84233036431345</v>
      </c>
      <c r="AV24" s="17">
        <f>IF(A23="отделение",($F$15+1)*H24/$Q$2,AV23-IF(E23&gt;0,0,AV23*(K23/H23)*C23))</f>
        <v>1.7281048561100283</v>
      </c>
      <c r="AW24" s="17">
        <f>AV24*$P$3/H24</f>
        <v>8.51767523434082</v>
      </c>
      <c r="AX24" s="17">
        <f>IF(A23="отделение",$F$2-$F$3/$P$8,IF(E23&gt;0,H24,AX23^2/(AX23-K23*C23)))</f>
        <v>0.005876429767187165</v>
      </c>
      <c r="AY24" s="17">
        <f>-($P$5*$F$6-IF(P23&gt;0,-1,1)*$F$16*$P$10*P23^2*$Q$16/2)/$F$6</f>
        <v>-9.815809591231458</v>
      </c>
    </row>
    <row r="25" spans="1:51" ht="15">
      <c r="A25" s="17" t="str">
        <f>IF($H$7=3,"1 ступень",IF(OR(A24="отделение",A24="2 ступень"),"2 ступень",IF($H$7=1,IF(I25&lt;$K$3*$P$4,"отделение","1 ступень"),IF(AY25&gt;O25,"отделение","1 ступень"))))</f>
        <v>1 ступень</v>
      </c>
      <c r="B25" s="13" t="str">
        <f>IF(A25="отделение","отделение",IF(Q24&gt;=$E$17,IF(E25&gt;0,IF(J25&gt;0,"разгон","полет"),IF(I25&gt;0,"выхлоп","торможение")),"старт"))</f>
        <v>старт</v>
      </c>
      <c r="C25" s="47">
        <f>IF(A25="отделение",0,IF(OR(AND(Q24&gt;$E$17*0.7,Q24&lt;$E$17),AND(I24&gt;$P$4*$K$3,E25=0)),$C$22/10,IF(E25&lt;L24*C24,IF(B24="выхлоп",$C$22,ROUNDUP(E25/L24,3)),$C$22)))</f>
        <v>0.01</v>
      </c>
      <c r="D25" s="7">
        <f>D24+C25</f>
        <v>0.02</v>
      </c>
      <c r="E25" s="9">
        <f>IF(A24="отделение",$F$3,MAX(IF(E24&lt;L24*C24,0,E24-L24*C24),0))</f>
        <v>0.09899485302538405</v>
      </c>
      <c r="F25" s="10">
        <f>IF(A24="отделение",($F$15+1)*($F$2-$F$3/$P$8)/$Q$2*$P$3,IF(E24=0,MAX(F24-L24*C24,0),F24))</f>
        <v>0.05005352029431331</v>
      </c>
      <c r="G25" s="11">
        <f>SUM(IF(A24="1 ступень",$E$4:$E$5,$F$4:$F$5),E25:F25)</f>
        <v>2.167806633383026</v>
      </c>
      <c r="H25" s="10">
        <f>IF(A24="отделение",$F$2-$F$3/$P$8,IF(E25=0,IF(A24="1 ступень",$E$2,$F$2),H24+K24*$C$22)+IF(Q24&lt;=$E$17,$P$18*(Q24-Q23),0))</f>
        <v>0.005942672327614063</v>
      </c>
      <c r="I25" s="12">
        <f>IF(A24="отделение",$F$15*$P$4,MAX(IF(A24="1 ступень",$Q$12,$Q$14)/AX25^$P$7-$P$4,0))</f>
        <v>590398.3872526254</v>
      </c>
      <c r="J25" s="17">
        <f>IF(A24="отделение",IF($H$8&gt;1,0,IF(E25=0,MIN(SQRT(I25)*SQRT(2/($P$10*(I25/$P$4+1))),AU25),SQRT(2*I25/$P$8))),IF(B24="полет",IF($H$8=2,IF(D25&lt;$K$4,0,IF(E25=0,MIN(SQRT(I25)*SQRT(2/($P$10*(I25/$P$4+1))),AU25),SQRT(2*I25/$P$8))),IF(Q24&gt;Q23,0,IF(E25=0,MIN(SQRT(I25)*SQRT(2/($P$10*(I25/$P$4+1))),AU25),SQRT(2*I25/$P$8)))),IF(E25=0,MIN(SQRT(I25)*SQRT(2/($P$10*(I25/$P$4+1))),AU25),SQRT(2*I25/$P$8))))</f>
        <v>34.362723618846786</v>
      </c>
      <c r="K25" s="17">
        <f>IF(Q24&lt;$E$17,($P$17-$P$18)*$Q$11,IF(A24="1 ступень",$P$17,$Q$17)*IF(E25&gt;0,$P$11,$R$11))*J25</f>
        <v>0.002520043719327942</v>
      </c>
      <c r="L25" s="17">
        <f>K25*IF(E25=0,AW25,$P$8)</f>
        <v>2.520043719327942</v>
      </c>
      <c r="M25" s="9">
        <f>$P$5*G25</f>
        <v>21.258920921265652</v>
      </c>
      <c r="N25" s="17">
        <f>IF(P24&gt;0,-1,1)*IF(A24="1 ступень",$E$16*$P$16,$F$16*$Q$16)*$P$10*P24^2/2</f>
        <v>-0.3841883429596306</v>
      </c>
      <c r="O25" s="17">
        <f>(IF(Q24&lt;$E$17,$P$18*I25,0)+L25*J25)/G25-(M25-N25)/G25</f>
        <v>286.64449025416934</v>
      </c>
      <c r="P25" s="17">
        <f>IF(Q24=0,0,P24+O25*C25)</f>
        <v>8.640345261583647</v>
      </c>
      <c r="Q25" s="17">
        <f>MAX(Q24+P24*C25+O25*C25^2/2,0)</f>
        <v>0.1298025822941889</v>
      </c>
      <c r="R25" s="17"/>
      <c r="S25" s="17">
        <f>IF(AJ24&lt;($E$17-0.4),S24,IF(AH24=0,S24,ATAN(AF24/AE24)*180/PI()+IF(AE24&lt;0,180,0)))</f>
        <v>8.41078874701669</v>
      </c>
      <c r="T25" s="17">
        <f>COS(S25*PI()/180)</f>
        <v>0.9892448081138289</v>
      </c>
      <c r="U25" s="17">
        <f>SIN(S25*PI()/180)</f>
        <v>0.14626930511844885</v>
      </c>
      <c r="V25" s="32">
        <f>X25*$T25</f>
        <v>-0.3803227622683324</v>
      </c>
      <c r="W25" s="32">
        <f>X25*$U25</f>
        <v>-0.056234357462826234</v>
      </c>
      <c r="X25" s="32">
        <f>IF(AE24&gt;0,-1,1)*IF(A24="1 ступень",$E$16*$P$16,$F$16*$Q$16)*$P$10*AG24^2/2</f>
        <v>-0.3844576783713279</v>
      </c>
      <c r="Y25" s="32">
        <f>AA25*$T25</f>
        <v>636.1169940370042</v>
      </c>
      <c r="Z25" s="32">
        <f>AA25*$U25</f>
        <v>94.05598081352053</v>
      </c>
      <c r="AA25" s="32">
        <f>IF(AJ24&lt;$E$17,$P$18*I25,0)+L25*J25</f>
        <v>643.0329366599098</v>
      </c>
      <c r="AB25" s="17">
        <f>IF(AH24=0,0,Y25/G25-(M25-V25)/G25)</f>
        <v>283.45597844883946</v>
      </c>
      <c r="AC25" s="17">
        <f>IF(AH24=0,0,Z25/G25+W25/G25)</f>
        <v>43.36168411357059</v>
      </c>
      <c r="AD25" s="17">
        <f>SQRT(AB25^2+AC25^2)</f>
        <v>286.75342607814474</v>
      </c>
      <c r="AE25" s="32">
        <f>IF(AH24=0,0,AE24+AB25*C25)</f>
        <v>8.54836251678298</v>
      </c>
      <c r="AF25" s="32">
        <f>IF(AH24=0,0,AF24+AC25*C25)</f>
        <v>1.278457216724977</v>
      </c>
      <c r="AG25" s="32">
        <f>SQRT(AE25^2+AF25^2)</f>
        <v>8.643434188639167</v>
      </c>
      <c r="AH25" s="32">
        <f>MAX(AH24+AE24*C25+AB25*C25^2/2,0)</f>
        <v>0.12845126697483697</v>
      </c>
      <c r="AI25" s="32">
        <f>IF(AH25=0,0,AI24+AF24*C25+AC25*C25^2/2)</f>
        <v>0.018993965525952894</v>
      </c>
      <c r="AJ25" s="32">
        <f>SQRT(AH25^2+AI25^2)</f>
        <v>0.12984798309500972</v>
      </c>
      <c r="AK25" s="39">
        <f>(ABS(X25/G25)-(IF(AH24&lt;$E$17,$P$18*I25,0)+L25*J25)/G25)/$P$5+IF(AH25&gt;0,0,1)</f>
        <v>-30.229590738008085</v>
      </c>
      <c r="AL25" s="32">
        <f>-((IF(Q24&lt;$E$17,$P$18*I25,0)+L25*J25)/G25)/$P$5</f>
        <v>-30.247675272015957</v>
      </c>
      <c r="AM25" s="32">
        <f>ABS(N25/G25/$P$5)</f>
        <v>0.018071864718934093</v>
      </c>
      <c r="AN25" s="32">
        <f>M25*T25/G25/$P$5</f>
        <v>0.9892448081138289</v>
      </c>
      <c r="AO25" s="32">
        <f>AN25</f>
        <v>0.9892448081138289</v>
      </c>
      <c r="AP25" s="32">
        <f>AL25+AM25+AN25</f>
        <v>-29.240358599183196</v>
      </c>
      <c r="AQ25" s="32">
        <f>AP25-AO25</f>
        <v>-30.229603407297024</v>
      </c>
      <c r="AR25" s="32">
        <f>(ABS(N25/G25)+M25*T25/G25-(IF(Q24&lt;$E$17,$P$18*I25,0)+L25*J25)/G25)/$P$5</f>
        <v>-29.240358599183192</v>
      </c>
      <c r="AS25" s="32"/>
      <c r="AT25" s="8">
        <f>IF(A24="отделение",$K$2,IF(A24="1 ступень",$Q$13,$Q$15)/AX25^($P$7-1)-273.15)</f>
        <v>12.944445391711554</v>
      </c>
      <c r="AU25" s="17">
        <f>SQRT($P$7*$P$6*(AT25+273.15)/$P$3)</f>
        <v>339.08128962453816</v>
      </c>
      <c r="AV25" s="17">
        <f>IF(A24="отделение",($F$15+1)*H25/$Q$2,AV24-IF(E24&gt;0,0,AV24*(K24/H24)*C24))</f>
        <v>1.7281048561100283</v>
      </c>
      <c r="AW25" s="17">
        <f>AV25*$P$3/H25</f>
        <v>8.422729293305897</v>
      </c>
      <c r="AX25" s="17">
        <f>IF(A24="отделение",$F$2-$F$3/$P$8,IF(E24&gt;0,H25,AX24^2/(AX24-K24*C24)))</f>
        <v>0.005942672327614063</v>
      </c>
      <c r="AY25" s="17">
        <f>-($P$5*$F$6-IF(P24&gt;0,-1,1)*$F$16*$P$10*P24^2*$Q$16/2)/$F$6</f>
        <v>-9.843307788393247</v>
      </c>
    </row>
    <row r="26" spans="1:51" ht="15">
      <c r="A26" s="17" t="str">
        <f>IF($H$7=3,"1 ступень",IF(OR(A25="отделение",A25="2 ступень"),"2 ступень",IF($H$7=1,IF(I26&lt;$K$3*$P$4,"отделение","1 ступень"),IF(AY26&gt;O26,"отделение","1 ступень"))))</f>
        <v>1 ступень</v>
      </c>
      <c r="B26" s="13" t="str">
        <f>IF(A26="отделение","отделение",IF(Q25&gt;=$E$17,IF(E26&gt;0,IF(J26&gt;0,"разгон","полет"),IF(I26&gt;0,"выхлоп","торможение")),"старт"))</f>
        <v>старт</v>
      </c>
      <c r="C26" s="47">
        <f>IF(A26="отделение",0,IF(OR(AND(Q25&gt;$E$17*0.7,Q25&lt;$E$17),AND(I25&gt;$P$4*$K$3,E26=0)),$C$22/10,IF(E26&lt;L25*C25,IF(B25="выхлоп",$C$22,ROUNDUP(E26/L25,3)),$C$22)))</f>
        <v>0.01</v>
      </c>
      <c r="D26" s="7">
        <f>D25+C26</f>
        <v>0.03</v>
      </c>
      <c r="E26" s="9">
        <f>IF(A25="отделение",$F$3,MAX(IF(E25&lt;L25*C25,0,E25-L25*C25),0))</f>
        <v>0.07379441583210464</v>
      </c>
      <c r="F26" s="10">
        <f>IF(A25="отделение",($F$15+1)*($F$2-$F$3/$P$8)/$Q$2*$P$3,IF(E25=0,MAX(F25-L25*C25,0),F25))</f>
        <v>0.05005352029431331</v>
      </c>
      <c r="G26" s="11">
        <f>SUM(IF(A25="1 ступень",$E$4:$E$5,$F$4:$F$5),E26:F26)</f>
        <v>2.142606196189747</v>
      </c>
      <c r="H26" s="10">
        <f>IF(A25="отделение",$F$2-$F$3/$P$8,IF(E26=0,IF(A25="1 ступень",$E$2,$F$2),H25+K25*$C$22)+IF(Q25&lt;=$E$17,$P$18*(Q25-Q24),0))</f>
        <v>0.006035798297030537</v>
      </c>
      <c r="I26" s="12">
        <f>IF(A25="отделение",$F$15*$P$4,MAX(IF(A25="1 ступень",$Q$12,$Q$14)/AX26^$P$7-$P$4,0))</f>
        <v>575503.0549311355</v>
      </c>
      <c r="J26" s="17">
        <f>IF(A25="отделение",IF($H$8&gt;1,0,IF(E26=0,MIN(SQRT(I26)*SQRT(2/($P$10*(I26/$P$4+1))),AU26),SQRT(2*I26/$P$8))),IF(B25="полет",IF($H$8=2,IF(D26&lt;$K$4,0,IF(E26=0,MIN(SQRT(I26)*SQRT(2/($P$10*(I26/$P$4+1))),AU26),SQRT(2*I26/$P$8))),IF(Q25&gt;Q24,0,IF(E26=0,MIN(SQRT(I26)*SQRT(2/($P$10*(I26/$P$4+1))),AU26),SQRT(2*I26/$P$8)))),IF(E26=0,MIN(SQRT(I26)*SQRT(2/($P$10*(I26/$P$4+1))),AU26),SQRT(2*I26/$P$8))))</f>
        <v>33.92648095311789</v>
      </c>
      <c r="K26" s="17">
        <f>IF(Q25&lt;$E$17,($P$17-$P$18)*$Q$11,IF(A25="1 ступень",$P$17,$Q$17)*IF(E26&gt;0,$P$11,$R$11))*J26</f>
        <v>0.002488051185730575</v>
      </c>
      <c r="L26" s="17">
        <f>K26*IF(E26=0,AW26,$P$8)</f>
        <v>2.488051185730575</v>
      </c>
      <c r="M26" s="9">
        <f>$P$5*G26</f>
        <v>21.01178905386418</v>
      </c>
      <c r="N26" s="17">
        <f>IF(P25&gt;0,-1,1)*IF(A25="1 ступень",$E$16*$P$16,$F$16*$Q$16)*$P$10*P25^2/2</f>
        <v>-0.8603354281891537</v>
      </c>
      <c r="O26" s="17">
        <f>(IF(Q25&lt;$E$17,$P$18*I26,0)+L26*J26)/G26-(M26-N26)/G26</f>
        <v>282.33725292302216</v>
      </c>
      <c r="P26" s="17">
        <f>IF(Q25=0,0,P25+O26*C26)</f>
        <v>11.463717790813869</v>
      </c>
      <c r="Q26" s="17">
        <f>MAX(Q25+P25*C26+O26*C26^2/2,0)</f>
        <v>0.2303228975561765</v>
      </c>
      <c r="R26" s="17"/>
      <c r="S26" s="17">
        <f>IF(AJ25&lt;($E$17-0.4),S25,IF(AH25=0,S25,ATAN(AF25/AE25)*180/PI()+IF(AE25&lt;0,180,0)))</f>
        <v>8.505873389067071</v>
      </c>
      <c r="T26" s="17">
        <f>COS(S26*PI()/180)</f>
        <v>0.989000706226103</v>
      </c>
      <c r="U26" s="17">
        <f>SIN(S26*PI()/180)</f>
        <v>0.1479107943466923</v>
      </c>
      <c r="V26" s="32">
        <f>X26*$T26</f>
        <v>-0.8514808292587672</v>
      </c>
      <c r="W26" s="32">
        <f>X26*$U26</f>
        <v>-0.12734389877963515</v>
      </c>
      <c r="X26" s="32">
        <f>IF(AE25&gt;0,-1,1)*IF(A25="1 ступень",$E$16*$P$16,$F$16*$Q$16)*$P$10*AG25^2/2</f>
        <v>-0.8609506786986092</v>
      </c>
      <c r="Y26" s="32">
        <f>AA26*$T26</f>
        <v>619.915208287353</v>
      </c>
      <c r="Z26" s="32">
        <f>AA26*$U26</f>
        <v>92.71191649120537</v>
      </c>
      <c r="AA26" s="32">
        <f>IF(AJ25&lt;$E$17,$P$18*I26,0)+L26*J26</f>
        <v>626.8096720101123</v>
      </c>
      <c r="AB26" s="17">
        <f>IF(AH25=0,0,Y26/G26-(M26-V26)/G26)</f>
        <v>279.1235923184399</v>
      </c>
      <c r="AC26" s="17">
        <f>IF(AH25=0,0,Z26/G26+W26/G26)</f>
        <v>43.21119427222386</v>
      </c>
      <c r="AD26" s="17">
        <f>SQRT(AB26^2+AC26^2)</f>
        <v>282.44855655354746</v>
      </c>
      <c r="AE26" s="32">
        <f>IF(AH25=0,0,AE25+AB26*C26)</f>
        <v>11.339598439967379</v>
      </c>
      <c r="AF26" s="32">
        <f>IF(AH25=0,0,AF25+AC26*C26)</f>
        <v>1.7105691594472157</v>
      </c>
      <c r="AG26" s="32">
        <f>SQRT(AE26^2+AF26^2)</f>
        <v>11.46789168195107</v>
      </c>
      <c r="AH26" s="32">
        <f>MAX(AH25+AE25*C26+AB26*C26^2/2,0)</f>
        <v>0.22789107175858875</v>
      </c>
      <c r="AI26" s="32">
        <f>IF(AH26=0,0,AI25+AF25*C26+AC26*C26^2/2)</f>
        <v>0.033939097406813855</v>
      </c>
      <c r="AJ26" s="32">
        <f>SQRT(AH26^2+AI26^2)</f>
        <v>0.23040443337763153</v>
      </c>
      <c r="AK26" s="39">
        <f>(ABS(X26/G26)-(IF(AH25&lt;$E$17,$P$18*I26,0)+L26*J26)/G26)/$P$5+IF(AH26&gt;0,0,1)</f>
        <v>-29.790358152120245</v>
      </c>
      <c r="AL26" s="32">
        <f>-((IF(Q25&lt;$E$17,$P$18*I26,0)+L26*J26)/G26)/$P$5</f>
        <v>-29.83133280099434</v>
      </c>
      <c r="AM26" s="32">
        <f>ABS(N26/G26/$P$5)</f>
        <v>0.04094536766877228</v>
      </c>
      <c r="AN26" s="32">
        <f>M26*T26/G26/$P$5</f>
        <v>0.9890007062261031</v>
      </c>
      <c r="AO26" s="32">
        <f>AN26</f>
        <v>0.9890007062261031</v>
      </c>
      <c r="AP26" s="32">
        <f>AL26+AM26+AN26</f>
        <v>-28.801386727099462</v>
      </c>
      <c r="AQ26" s="32">
        <f>AP26-AO26</f>
        <v>-29.790387433325566</v>
      </c>
      <c r="AR26" s="32">
        <f>(ABS(N26/G26)+M26*T26/G26-(IF(Q25&lt;$E$17,$P$18*I26,0)+L26*J26)/G26)/$P$5</f>
        <v>-28.801386727099462</v>
      </c>
      <c r="AS26" s="32"/>
      <c r="AT26" s="8">
        <f>IF(A25="отделение",$K$2,IF(A25="1 ступень",$Q$13,$Q$15)/AX26^($P$7-1)-273.15)</f>
        <v>11.170551203740445</v>
      </c>
      <c r="AU26" s="17">
        <f>SQRT($P$7*$P$6*(AT26+273.15)/$P$3)</f>
        <v>338.0284386976715</v>
      </c>
      <c r="AV26" s="17">
        <f>IF(A25="отделение",($F$15+1)*H26/$Q$2,AV25-IF(E25&gt;0,0,AV25*(K25/H25)*C25))</f>
        <v>1.7281048561100283</v>
      </c>
      <c r="AW26" s="17">
        <f>AV26*$P$3/H26</f>
        <v>8.29277550890632</v>
      </c>
      <c r="AX26" s="17">
        <f>IF(A25="отделение",$F$2-$F$3/$P$8,IF(E25&gt;0,H26,AX25^2/(AX25-K25*C25)))</f>
        <v>0.006035798297030537</v>
      </c>
      <c r="AY26" s="17">
        <f>-($P$5*$F$6-IF(P25&gt;0,-1,1)*$F$16*$P$10*P25^2*$Q$16/2)/$F$6</f>
        <v>-9.88873992972253</v>
      </c>
    </row>
    <row r="27" spans="1:51" ht="15">
      <c r="A27" s="17" t="str">
        <f>IF($H$7=3,"1 ступень",IF(OR(A26="отделение",A26="2 ступень"),"2 ступень",IF($H$7=1,IF(I27&lt;$K$3*$P$4,"отделение","1 ступень"),IF(AY27&gt;O27,"отделение","1 ступень"))))</f>
        <v>1 ступень</v>
      </c>
      <c r="B27" s="13" t="str">
        <f>IF(A27="отделение","отделение",IF(Q26&gt;=$E$17,IF(E27&gt;0,IF(J27&gt;0,"разгон","полет"),IF(I27&gt;0,"выхлоп","торможение")),"старт"))</f>
        <v>старт</v>
      </c>
      <c r="C27" s="47">
        <f>IF(A27="отделение",0,IF(OR(AND(Q26&gt;$E$17*0.7,Q26&lt;$E$17),AND(I26&gt;$P$4*$K$3,E27=0)),$C$22/10,IF(E27&lt;L26*C26,IF(B26="выхлоп",$C$22,ROUNDUP(E27/L26,3)),$C$22)))</f>
        <v>0.001</v>
      </c>
      <c r="D27" s="7">
        <f>D26+C27</f>
        <v>0.031</v>
      </c>
      <c r="E27" s="9">
        <f>IF(A26="отделение",$F$3,MAX(IF(E26&lt;L26*C26,0,E26-L26*C26),0))</f>
        <v>0.04891390397479889</v>
      </c>
      <c r="F27" s="10">
        <f>IF(A26="отделение",($F$15+1)*($F$2-$F$3/$P$8)/$Q$2*$P$3,IF(E26=0,MAX(F26-L26*C26,0),F26))</f>
        <v>0.05005352029431331</v>
      </c>
      <c r="G27" s="11">
        <f>SUM(IF(A26="1 ступень",$E$4:$E$5,$F$4:$F$5),E27:F27)</f>
        <v>2.117725684332441</v>
      </c>
      <c r="H27" s="10">
        <f>IF(A26="отделение",$F$2-$F$3/$P$8,IF(E27=0,IF(A26="1 ступень",$E$2,$F$2),H26+K26*$C$22)+IF(Q26&lt;=$E$17,$P$18*(Q26-Q25),0))</f>
        <v>0.006155416974076919</v>
      </c>
      <c r="I27" s="12">
        <f>IF(A26="отделение",$F$15*$P$4,MAX(IF(A26="1 ступень",$Q$12,$Q$14)/AX27^$P$7-$P$4,0))</f>
        <v>557160.9132770646</v>
      </c>
      <c r="J27" s="17">
        <f>IF(A26="отделение",IF($H$8&gt;1,0,IF(E27=0,MIN(SQRT(I27)*SQRT(2/($P$10*(I27/$P$4+1))),AU27),SQRT(2*I27/$P$8))),IF(B26="полет",IF($H$8=2,IF(D27&lt;$K$4,0,IF(E27=0,MIN(SQRT(I27)*SQRT(2/($P$10*(I27/$P$4+1))),AU27),SQRT(2*I27/$P$8))),IF(Q26&gt;Q25,0,IF(E27=0,MIN(SQRT(I27)*SQRT(2/($P$10*(I27/$P$4+1))),AU27),SQRT(2*I27/$P$8)))),IF(E27=0,MIN(SQRT(I27)*SQRT(2/($P$10*(I27/$P$4+1))),AU27),SQRT(2*I27/$P$8))))</f>
        <v>33.38145932331493</v>
      </c>
      <c r="K27" s="17">
        <f>IF(Q26&lt;$E$17,($P$17-$P$18)*$Q$11,IF(A26="1 ступень",$P$17,$Q$17)*IF(E27&gt;0,$P$11,$R$11))*J27</f>
        <v>0.002448081177813929</v>
      </c>
      <c r="L27" s="17">
        <f>K27*IF(E27=0,AW27,$P$8)</f>
        <v>2.448081177813929</v>
      </c>
      <c r="M27" s="9">
        <f>$P$5*G27</f>
        <v>20.76779458225873</v>
      </c>
      <c r="N27" s="17">
        <f>IF(P26&gt;0,-1,1)*IF(A26="1 ступень",$E$16*$P$16,$F$16*$Q$16)*$P$10*P26^2/2</f>
        <v>-1.5144557413240645</v>
      </c>
      <c r="O27" s="17">
        <f>(IF(Q26&lt;$E$17,$P$18*I27,0)+L27*J27)/G27-(M27-N27)/G27</f>
        <v>276.0272805227047</v>
      </c>
      <c r="P27" s="17">
        <f>IF(Q26=0,0,P26+O27*C27)</f>
        <v>11.739745071336573</v>
      </c>
      <c r="Q27" s="17">
        <f>MAX(Q26+P26*C27+O27*C27^2/2,0)</f>
        <v>0.24192462898725173</v>
      </c>
      <c r="R27" s="17"/>
      <c r="S27" s="17">
        <f>IF(AJ26&lt;($E$17-0.4),S26,IF(AH26=0,S26,ATAN(AF26/AE26)*180/PI()+IF(AE26&lt;0,180,0)))</f>
        <v>8.578343630969322</v>
      </c>
      <c r="T27" s="17">
        <f>COS(S27*PI()/180)</f>
        <v>0.9888128310292982</v>
      </c>
      <c r="U27" s="17">
        <f>SIN(S27*PI()/180)</f>
        <v>0.14916160763354808</v>
      </c>
      <c r="V27" s="32">
        <f>X27*$T27</f>
        <v>-1.498603944054778</v>
      </c>
      <c r="W27" s="32">
        <f>X27*$U27</f>
        <v>-0.22606318049948848</v>
      </c>
      <c r="X27" s="32">
        <f>IF(AE26&gt;0,-1,1)*IF(A26="1 ступень",$E$16*$P$16,$F$16*$Q$16)*$P$10*AG26^2/2</f>
        <v>-1.5155587559425339</v>
      </c>
      <c r="Y27" s="32">
        <f>AA27*$T27</f>
        <v>600.0435762532578</v>
      </c>
      <c r="Z27" s="32">
        <f>AA27*$U27</f>
        <v>90.51608320146028</v>
      </c>
      <c r="AA27" s="32">
        <f>IF(AJ26&lt;$E$17,$P$18*I27,0)+L27*J27</f>
        <v>606.8323118629503</v>
      </c>
      <c r="AB27" s="17">
        <f>IF(AH26=0,0,Y27/G27-(M27-V27)/G27)</f>
        <v>272.82909302253364</v>
      </c>
      <c r="AC27" s="17">
        <f>IF(AH26=0,0,Z27/G27+W27/G27)</f>
        <v>42.635370902356705</v>
      </c>
      <c r="AD27" s="17">
        <f>SQRT(AB27^2+AC27^2)</f>
        <v>276.1403426728515</v>
      </c>
      <c r="AE27" s="32">
        <f>IF(AH26=0,0,AE26+AB27*C27)</f>
        <v>11.612427532989912</v>
      </c>
      <c r="AF27" s="32">
        <f>IF(AH26=0,0,AF26+AC27*C27)</f>
        <v>1.7532045303495725</v>
      </c>
      <c r="AG27" s="32">
        <f>SQRT(AE27^2+AF27^2)</f>
        <v>11.74402824137359</v>
      </c>
      <c r="AH27" s="32">
        <f>MAX(AH26+AE26*C27+AB27*C27^2/2,0)</f>
        <v>0.23936708474506738</v>
      </c>
      <c r="AI27" s="32">
        <f>IF(AH27=0,0,AI26+AF26*C27+AC27*C27^2/2)</f>
        <v>0.03567098425171225</v>
      </c>
      <c r="AJ27" s="32">
        <f>SQRT(AH27^2+AI27^2)</f>
        <v>0.24201037245712873</v>
      </c>
      <c r="AK27" s="39">
        <f>(ABS(X27/G27)-(IF(AH26&lt;$E$17,$P$18*I27,0)+L27*J27)/G27)/$P$5+IF(AH27&gt;0,0,1)</f>
        <v>-29.146896205536947</v>
      </c>
      <c r="AL27" s="32">
        <f>-((IF(Q26&lt;$E$17,$P$18*I27,0)+L27*J27)/G27)/$P$5</f>
        <v>-29.219872599344175</v>
      </c>
      <c r="AM27" s="32">
        <f>ABS(N27/G27/$P$5)</f>
        <v>0.07292328202330237</v>
      </c>
      <c r="AN27" s="32">
        <f>M27*T27/G27/$P$5</f>
        <v>0.9888128310292982</v>
      </c>
      <c r="AO27" s="32">
        <f>AN27</f>
        <v>0.9888128310292982</v>
      </c>
      <c r="AP27" s="32">
        <f>AL27+AM27+AN27</f>
        <v>-28.15813648629157</v>
      </c>
      <c r="AQ27" s="32">
        <f>AP27-AO27</f>
        <v>-29.14694931732087</v>
      </c>
      <c r="AR27" s="32">
        <f>(ABS(N27/G27)+M27*T27/G27-(IF(Q26&lt;$E$17,$P$18*I27,0)+L27*J27)/G27)/$P$5</f>
        <v>-28.15813648629157</v>
      </c>
      <c r="AS27" s="32"/>
      <c r="AT27" s="8">
        <f>IF(A26="отделение",$K$2,IF(A26="1 ступень",$Q$13,$Q$15)/AX27^($P$7-1)-273.15)</f>
        <v>8.947442316341892</v>
      </c>
      <c r="AU27" s="17">
        <f>SQRT($P$7*$P$6*(AT27+273.15)/$P$3)</f>
        <v>336.704319244629</v>
      </c>
      <c r="AV27" s="17">
        <f>IF(A26="отделение",($F$15+1)*H27/$Q$2,AV26-IF(E26&gt;0,0,AV26*(K26/H26)*C26))</f>
        <v>1.7281048561100283</v>
      </c>
      <c r="AW27" s="17">
        <f>AV27*$P$3/H27</f>
        <v>8.13162138407682</v>
      </c>
      <c r="AX27" s="17">
        <f>IF(A26="отделение",$F$2-$F$3/$P$8,IF(E26&gt;0,H27,AX26^2/(AX26-K26*C26)))</f>
        <v>0.006155416974076919</v>
      </c>
      <c r="AY27" s="17">
        <f>-($P$5*$F$6-IF(P26&gt;0,-1,1)*$F$16*$P$10*P26^2*$Q$16/2)/$F$6</f>
        <v>-9.951153598596244</v>
      </c>
    </row>
    <row r="28" spans="1:51" ht="15">
      <c r="A28" s="17" t="str">
        <f>IF($H$7=3,"1 ступень",IF(OR(A27="отделение",A27="2 ступень"),"2 ступень",IF($H$7=1,IF(I28&lt;$K$3*$P$4,"отделение","1 ступень"),IF(AY28&gt;O28,"отделение","1 ступень"))))</f>
        <v>1 ступень</v>
      </c>
      <c r="B28" s="13" t="str">
        <f>IF(A28="отделение","отделение",IF(Q27&gt;=$E$17,IF(E28&gt;0,IF(J28&gt;0,"разгон","полет"),IF(I28&gt;0,"выхлоп","торможение")),"старт"))</f>
        <v>старт</v>
      </c>
      <c r="C28" s="47">
        <f>IF(A28="отделение",0,IF(OR(AND(Q27&gt;$E$17*0.7,Q27&lt;$E$17),AND(I27&gt;$P$4*$K$3,E28=0)),$C$22/10,IF(E28&lt;L27*C27,IF(B27="выхлоп",$C$22,ROUNDUP(E28/L27,3)),$C$22)))</f>
        <v>0.001</v>
      </c>
      <c r="D28" s="7">
        <f>D27+C28</f>
        <v>0.032</v>
      </c>
      <c r="E28" s="9">
        <f>IF(A27="отделение",$F$3,MAX(IF(E27&lt;L27*C27,0,E27-L27*C27),0))</f>
        <v>0.04646582279698496</v>
      </c>
      <c r="F28" s="10">
        <f>IF(A27="отделение",($F$15+1)*($F$2-$F$3/$P$8)/$Q$2*$P$3,IF(E27=0,MAX(F27-L27*C27,0),F27))</f>
        <v>0.05005352029431331</v>
      </c>
      <c r="G28" s="11">
        <f>SUM(IF(A27="1 ступень",$E$4:$E$5,$F$4:$F$5),E28:F28)</f>
        <v>2.115277603154627</v>
      </c>
      <c r="H28" s="10">
        <f>IF(A27="отделение",$F$2-$F$3/$P$8,IF(E28=0,IF(A27="1 ступень",$E$2,$F$2),H27+K27*$C$22)+IF(Q27&lt;=$E$17,$P$18*(Q27-Q26),0))</f>
        <v>0.0061908321601248945</v>
      </c>
      <c r="I28" s="12">
        <f>IF(A27="отделение",$F$15*$P$4,MAX(IF(A27="1 ступень",$Q$12,$Q$14)/AX28^$P$7-$P$4,0))</f>
        <v>551893.2587643183</v>
      </c>
      <c r="J28" s="17">
        <f>IF(A27="отделение",IF($H$8&gt;1,0,IF(E28=0,MIN(SQRT(I28)*SQRT(2/($P$10*(I28/$P$4+1))),AU28),SQRT(2*I28/$P$8))),IF(B27="полет",IF($H$8=2,IF(D28&lt;$K$4,0,IF(E28=0,MIN(SQRT(I28)*SQRT(2/($P$10*(I28/$P$4+1))),AU28),SQRT(2*I28/$P$8))),IF(Q27&gt;Q26,0,IF(E28=0,MIN(SQRT(I28)*SQRT(2/($P$10*(I28/$P$4+1))),AU28),SQRT(2*I28/$P$8)))),IF(E28=0,MIN(SQRT(I28)*SQRT(2/($P$10*(I28/$P$4+1))),AU28),SQRT(2*I28/$P$8))))</f>
        <v>33.22328276267468</v>
      </c>
      <c r="K28" s="17">
        <f>IF(Q27&lt;$E$17,($P$17-$P$18)*$Q$11,IF(A27="1 ступень",$P$17,$Q$17)*IF(E28&gt;0,$P$11,$R$11))*J28</f>
        <v>0.0024364810540109445</v>
      </c>
      <c r="L28" s="17">
        <f>K28*IF(E28=0,AW28,$P$8)</f>
        <v>2.4364810540109443</v>
      </c>
      <c r="M28" s="9">
        <f>$P$5*G28</f>
        <v>20.74378710697632</v>
      </c>
      <c r="N28" s="17">
        <f>IF(P27&gt;0,-1,1)*IF(A27="1 ступень",$E$16*$P$16,$F$16*$Q$16)*$P$10*P27^2/2</f>
        <v>-1.5882649286553547</v>
      </c>
      <c r="O28" s="17">
        <f>(IF(Q27&lt;$E$17,$P$18*I28,0)+L28*J28)/G28-(M28-N28)/G28</f>
        <v>273.6108907381457</v>
      </c>
      <c r="P28" s="17">
        <f>IF(Q27=0,0,P27+O28*C28)</f>
        <v>12.01335596207472</v>
      </c>
      <c r="Q28" s="17">
        <f>MAX(Q27+P27*C28+O28*C28^2/2,0)</f>
        <v>0.2538011795039574</v>
      </c>
      <c r="R28" s="17"/>
      <c r="S28" s="17">
        <f>IF(AJ27&lt;($E$17-0.4),S27,IF(AH27=0,S27,ATAN(AF27/AE27)*180/PI()+IF(AE27&lt;0,180,0)))</f>
        <v>8.585480098227732</v>
      </c>
      <c r="T28" s="17">
        <f>COS(S28*PI()/180)</f>
        <v>0.9887942445574122</v>
      </c>
      <c r="U28" s="17">
        <f>SIN(S28*PI()/180)</f>
        <v>0.14928476791064973</v>
      </c>
      <c r="V28" s="32">
        <f>X28*$T28</f>
        <v>-1.5716133789427922</v>
      </c>
      <c r="W28" s="32">
        <f>X28*$U28</f>
        <v>-0.23727680436263318</v>
      </c>
      <c r="X28" s="32">
        <f>IF(AE27&gt;0,-1,1)*IF(A27="1 ступень",$E$16*$P$16,$F$16*$Q$16)*$P$10*AG27^2/2</f>
        <v>-1.5894240764379166</v>
      </c>
      <c r="Y28" s="32">
        <f>AA28*$T28</f>
        <v>594.3593171638556</v>
      </c>
      <c r="Z28" s="32">
        <f>AA28*$U28</f>
        <v>89.73433371677216</v>
      </c>
      <c r="AA28" s="32">
        <f>IF(AJ27&lt;$E$17,$P$18*I28,0)+L28*J28</f>
        <v>601.0950411932191</v>
      </c>
      <c r="AB28" s="17">
        <f>IF(AH27=0,0,Y28/G28-(M28-V28)/G28)</f>
        <v>270.434441240628</v>
      </c>
      <c r="AC28" s="17">
        <f>IF(AH27=0,0,Z28/G28+W28/G28)</f>
        <v>42.30983998456645</v>
      </c>
      <c r="AD28" s="17">
        <f>SQRT(AB28^2+AC28^2)</f>
        <v>273.72414867645546</v>
      </c>
      <c r="AE28" s="32">
        <f>IF(AH27=0,0,AE27+AB28*C28)</f>
        <v>11.88286197423054</v>
      </c>
      <c r="AF28" s="32">
        <f>IF(AH27=0,0,AF27+AC28*C28)</f>
        <v>1.795514370334139</v>
      </c>
      <c r="AG28" s="32">
        <f>SQRT(AE28^2+AF28^2)</f>
        <v>12.017748564214951</v>
      </c>
      <c r="AH28" s="32">
        <f>MAX(AH27+AE27*C28+AB28*C28^2/2,0)</f>
        <v>0.25111472949867764</v>
      </c>
      <c r="AI28" s="32">
        <f>IF(AH28=0,0,AI27+AF27*C28+AC28*C28^2/2)</f>
        <v>0.03744534370205411</v>
      </c>
      <c r="AJ28" s="32">
        <f>SQRT(AH28^2+AI28^2)</f>
        <v>0.2538912387936201</v>
      </c>
      <c r="AK28" s="39">
        <f>(ABS(X28/G28)-(IF(AH27&lt;$E$17,$P$18*I28,0)+L28*J28)/G28)/$P$5+IF(AH28&gt;0,0,1)</f>
        <v>-28.90049025402705</v>
      </c>
      <c r="AL28" s="32">
        <f>-((IF(Q27&lt;$E$17,$P$18*I28,0)+L28*J28)/G28)/$P$5</f>
        <v>-28.977111946500138</v>
      </c>
      <c r="AM28" s="32">
        <f>ABS(N28/G28/$P$5)</f>
        <v>0.07656581319816994</v>
      </c>
      <c r="AN28" s="32">
        <f>M28*T28/G28/$P$5</f>
        <v>0.9887942445574122</v>
      </c>
      <c r="AO28" s="32">
        <f>AN28</f>
        <v>0.9887942445574122</v>
      </c>
      <c r="AP28" s="32">
        <f>AL28+AM28+AN28</f>
        <v>-27.911751888744558</v>
      </c>
      <c r="AQ28" s="32">
        <f>AP28-AO28</f>
        <v>-28.90054613330197</v>
      </c>
      <c r="AR28" s="32">
        <f>(ABS(N28/G28)+M28*T28/G28-(IF(Q27&lt;$E$17,$P$18*I28,0)+L28*J28)/G28)/$P$5</f>
        <v>-27.911751888744554</v>
      </c>
      <c r="AS28" s="32"/>
      <c r="AT28" s="8">
        <f>IF(A27="отделение",$K$2,IF(A27="1 ступень",$Q$13,$Q$15)/AX28^($P$7-1)-273.15)</f>
        <v>8.30082608374721</v>
      </c>
      <c r="AU28" s="17">
        <f>SQRT($P$7*$P$6*(AT28+273.15)/$P$3)</f>
        <v>336.31820552815014</v>
      </c>
      <c r="AV28" s="17">
        <f>IF(A27="отделение",($F$15+1)*H28/$Q$2,AV27-IF(E27&gt;0,0,AV27*(K27/H27)*C27))</f>
        <v>1.7281048561100283</v>
      </c>
      <c r="AW28" s="17">
        <f>AV28*$P$3/H28</f>
        <v>8.08510374690945</v>
      </c>
      <c r="AX28" s="17">
        <f>IF(A27="отделение",$F$2-$F$3/$P$8,IF(E27&gt;0,H28,AX27^2/(AX27-K27*C27)))</f>
        <v>0.0061908321601248945</v>
      </c>
      <c r="AY28" s="17">
        <f>-($P$5*$F$6-IF(P27&gt;0,-1,1)*$F$16*$P$10*P27^2*$Q$16/2)/$F$6</f>
        <v>-9.958196190127847</v>
      </c>
    </row>
    <row r="29" spans="1:51" ht="15">
      <c r="A29" s="17" t="str">
        <f>IF($H$7=3,"1 ступень",IF(OR(A28="отделение",A28="2 ступень"),"2 ступень",IF($H$7=1,IF(I29&lt;$K$3*$P$4,"отделение","1 ступень"),IF(AY29&gt;O29,"отделение","1 ступень"))))</f>
        <v>1 ступень</v>
      </c>
      <c r="B29" s="13" t="str">
        <f>IF(A29="отделение","отделение",IF(Q28&gt;=$E$17,IF(E29&gt;0,IF(J29&gt;0,"разгон","полет"),IF(I29&gt;0,"выхлоп","торможение")),"старт"))</f>
        <v>старт</v>
      </c>
      <c r="C29" s="47">
        <f>IF(A29="отделение",0,IF(OR(AND(Q28&gt;$E$17*0.7,Q28&lt;$E$17),AND(I28&gt;$P$4*$K$3,E29=0)),$C$22/10,IF(E29&lt;L28*C28,IF(B28="выхлоп",$C$22,ROUNDUP(E29/L28,3)),$C$22)))</f>
        <v>0.001</v>
      </c>
      <c r="D29" s="7">
        <f>D28+C29</f>
        <v>0.033</v>
      </c>
      <c r="E29" s="9">
        <f>IF(A28="отделение",$F$3,MAX(IF(E28&lt;L28*C28,0,E28-L28*C28),0))</f>
        <v>0.044029341742974015</v>
      </c>
      <c r="F29" s="10">
        <f>IF(A28="отделение",($F$15+1)*($F$2-$F$3/$P$8)/$Q$2*$P$3,IF(E28=0,MAX(F28-L28*C28,0),F28))</f>
        <v>0.05005352029431331</v>
      </c>
      <c r="G29" s="11">
        <f>SUM(IF(A28="1 ступень",$E$4:$E$5,$F$4:$F$5),E29:F29)</f>
        <v>2.1128411221006163</v>
      </c>
      <c r="H29" s="10">
        <f>IF(A28="отделение",$F$2-$F$3/$P$8,IF(E29=0,IF(A28="1 ступень",$E$2,$F$2),H28+K28*$C$22)+IF(Q28&lt;=$E$17,$P$18*(Q28-Q27),0))</f>
        <v>0.006226390355820986</v>
      </c>
      <c r="I29" s="12">
        <f>IF(A28="отделение",$F$15*$P$4,MAX(IF(A28="1 ступень",$Q$12,$Q$14)/AX29^$P$7-$P$4,0))</f>
        <v>546676.5951963</v>
      </c>
      <c r="J29" s="17">
        <f>IF(A28="отделение",IF($H$8&gt;1,0,IF(E29=0,MIN(SQRT(I29)*SQRT(2/($P$10*(I29/$P$4+1))),AU29),SQRT(2*I29/$P$8))),IF(B28="полет",IF($H$8=2,IF(D29&lt;$K$4,0,IF(E29=0,MIN(SQRT(I29)*SQRT(2/($P$10*(I29/$P$4+1))),AU29),SQRT(2*I29/$P$8))),IF(Q28&gt;Q27,0,IF(E29=0,MIN(SQRT(I29)*SQRT(2/($P$10*(I29/$P$4+1))),AU29),SQRT(2*I29/$P$8)))),IF(E29=0,MIN(SQRT(I29)*SQRT(2/($P$10*(I29/$P$4+1))),AU29),SQRT(2*I29/$P$8))))</f>
        <v>33.06589164671958</v>
      </c>
      <c r="K29" s="17">
        <f>IF(Q28&lt;$E$17,($P$17-$P$18)*$Q$11,IF(A28="1 ступень",$P$17,$Q$17)*IF(E29&gt;0,$P$11,$R$11))*J29</f>
        <v>0.0024249385320141395</v>
      </c>
      <c r="L29" s="17">
        <f>K29*IF(E29=0,AW29,$P$8)</f>
        <v>2.4249385320141394</v>
      </c>
      <c r="M29" s="9">
        <f>$P$5*G29</f>
        <v>20.719893390048007</v>
      </c>
      <c r="N29" s="17">
        <f>IF(P28&gt;0,-1,1)*IF(A28="1 ступень",$E$16*$P$16,$F$16*$Q$16)*$P$10*P28^2/2</f>
        <v>-1.66316104690241</v>
      </c>
      <c r="O29" s="17">
        <f>(IF(Q28&lt;$E$17,$P$18*I29,0)+L29*J29)/G29-(M29-N29)/G29</f>
        <v>271.2131295278477</v>
      </c>
      <c r="P29" s="17">
        <f>IF(Q28=0,0,P28+O29*C29)</f>
        <v>12.284569091602567</v>
      </c>
      <c r="Q29" s="17">
        <f>MAX(Q28+P28*C29+O29*C29^2/2,0)</f>
        <v>0.26595014203079603</v>
      </c>
      <c r="R29" s="17"/>
      <c r="S29" s="17">
        <f>IF(AJ28&lt;($E$17-0.4),S28,IF(AH28=0,S28,ATAN(AF28/AE28)*180/PI()+IF(AE28&lt;0,180,0)))</f>
        <v>8.592459781137814</v>
      </c>
      <c r="T29" s="17">
        <f>COS(S29*PI()/180)</f>
        <v>0.9887760515820692</v>
      </c>
      <c r="U29" s="17">
        <f>SIN(S29*PI()/180)</f>
        <v>0.14940522018247343</v>
      </c>
      <c r="V29" s="32">
        <f>X29*$T29</f>
        <v>-1.6456966289834052</v>
      </c>
      <c r="W29" s="32">
        <f>X29*$U29</f>
        <v>-0.24866668930078964</v>
      </c>
      <c r="X29" s="32">
        <f>IF(AE28&gt;0,-1,1)*IF(A28="1 ступень",$E$16*$P$16,$F$16*$Q$16)*$P$10*AG28^2/2</f>
        <v>-1.664377516375164</v>
      </c>
      <c r="Y29" s="32">
        <f>AA29*$T29</f>
        <v>588.7304191078634</v>
      </c>
      <c r="Z29" s="32">
        <f>AA29*$U29</f>
        <v>88.9578562852455</v>
      </c>
      <c r="AA29" s="32">
        <f>IF(AJ28&lt;$E$17,$P$18*I29,0)+L29*J29</f>
        <v>595.4133073569878</v>
      </c>
      <c r="AB29" s="17">
        <f>IF(AH28=0,0,Y29/G29-(M29-V29)/G29)</f>
        <v>268.05840872963705</v>
      </c>
      <c r="AC29" s="17">
        <f>IF(AH28=0,0,Z29/G29+W29/G29)</f>
        <v>41.98573601584808</v>
      </c>
      <c r="AD29" s="17">
        <f>SQRT(AB29^2+AC29^2)</f>
        <v>271.3265790877437</v>
      </c>
      <c r="AE29" s="32">
        <f>IF(AH28=0,0,AE28+AB29*C29)</f>
        <v>12.150920382960177</v>
      </c>
      <c r="AF29" s="32">
        <f>IF(AH28=0,0,AF28+AC29*C29)</f>
        <v>1.837500106349987</v>
      </c>
      <c r="AG29" s="32">
        <f>SQRT(AE29^2+AF29^2)</f>
        <v>12.289071274668126</v>
      </c>
      <c r="AH29" s="32">
        <f>MAX(AH28+AE28*C29+AB29*C29^2/2,0)</f>
        <v>0.263131620677273</v>
      </c>
      <c r="AI29" s="32">
        <f>IF(AH29=0,0,AI28+AF28*C29+AC29*C29^2/2)</f>
        <v>0.03926185094039617</v>
      </c>
      <c r="AJ29" s="32">
        <f>SQRT(AH29^2+AI29^2)</f>
        <v>0.26604462546631946</v>
      </c>
      <c r="AK29" s="39">
        <f>(ABS(X29/G29)-(IF(AH28&lt;$E$17,$P$18*I29,0)+L29*J29)/G29)/$P$5+IF(AH29&gt;0,0,1)</f>
        <v>-28.6559838249842</v>
      </c>
      <c r="AL29" s="32">
        <f>-((IF(Q28&lt;$E$17,$P$18*I29,0)+L29*J29)/G29)/$P$5</f>
        <v>-28.736311338501938</v>
      </c>
      <c r="AM29" s="32">
        <f>ABS(N29/G29/$P$5)</f>
        <v>0.08026880329901913</v>
      </c>
      <c r="AN29" s="32">
        <f>M29*T29/G29/$P$5</f>
        <v>0.988776051582069</v>
      </c>
      <c r="AO29" s="32">
        <f>AN29</f>
        <v>0.988776051582069</v>
      </c>
      <c r="AP29" s="32">
        <f>AL29+AM29+AN29</f>
        <v>-27.66726648362085</v>
      </c>
      <c r="AQ29" s="32">
        <f>AP29-AO29</f>
        <v>-28.656042535202918</v>
      </c>
      <c r="AR29" s="32">
        <f>(ABS(N29/G29)+M29*T29/G29-(IF(Q28&lt;$E$17,$P$18*I29,0)+L29*J29)/G29)/$P$5</f>
        <v>-27.667266483620846</v>
      </c>
      <c r="AS29" s="32"/>
      <c r="AT29" s="8">
        <f>IF(A28="отделение",$K$2,IF(A28="1 ступень",$Q$13,$Q$15)/AX29^($P$7-1)-273.15)</f>
        <v>7.656787945550661</v>
      </c>
      <c r="AU29" s="17">
        <f>SQRT($P$7*$P$6*(AT29+273.15)/$P$3)</f>
        <v>335.9331901290949</v>
      </c>
      <c r="AV29" s="17">
        <f>IF(A28="отделение",($F$15+1)*H29/$Q$2,AV28-IF(E28&gt;0,0,AV28*(K28/H28)*C28))</f>
        <v>1.7281048561100283</v>
      </c>
      <c r="AW29" s="17">
        <f>AV29*$P$3/H29</f>
        <v>8.038930653860918</v>
      </c>
      <c r="AX29" s="17">
        <f>IF(A28="отделение",$F$2-$F$3/$P$8,IF(E28&gt;0,H29,AX28^2/(AX28-K28*C28)))</f>
        <v>0.006226390355820986</v>
      </c>
      <c r="AY29" s="17">
        <f>-($P$5*$F$6-IF(P28&gt;0,-1,1)*$F$16*$P$10*P28^2*$Q$16/2)/$F$6</f>
        <v>-9.965342492467542</v>
      </c>
    </row>
    <row r="30" spans="1:51" ht="13.5">
      <c r="A30" s="17" t="str">
        <f>IF($H$7=3,"1 ступень",IF(OR(A29="отделение",A29="2 ступень"),"2 ступень",IF($H$7=1,IF(I30&lt;$K$3*$P$4,"отделение","1 ступень"),IF(AY30&gt;O30,"отделение","1 ступень"))))</f>
        <v>1 ступень</v>
      </c>
      <c r="B30" s="13" t="str">
        <f>IF(A30="отделение","отделение",IF(Q29&gt;=$E$17,IF(E30&gt;0,IF(J30&gt;0,"разгон","полет"),IF(I30&gt;0,"выхлоп","торможение")),"старт"))</f>
        <v>старт</v>
      </c>
      <c r="C30" s="47">
        <f>IF(A30="отделение",0,IF(OR(AND(Q29&gt;$E$17*0.7,Q29&lt;$E$17),AND(I29&gt;$P$4*$K$3,E30=0)),$C$22/10,IF(E30&lt;L29*C29,IF(B29="выхлоп",$C$22,ROUNDUP(E30/L29,3)),$C$22)))</f>
        <v>0.001</v>
      </c>
      <c r="D30" s="7">
        <f>D29+C30</f>
        <v>0.034</v>
      </c>
      <c r="E30" s="9">
        <f>IF(A29="отделение",$F$3,MAX(IF(E29&lt;L29*C29,0,E29-L29*C29),0))</f>
        <v>0.04160440321095987</v>
      </c>
      <c r="F30" s="10">
        <f>IF(A29="отделение",($F$15+1)*($F$2-$F$3/$P$8)/$Q$2*$P$3,IF(E29=0,MAX(F29-L29*C29,0),F29))</f>
        <v>0.05005352029431331</v>
      </c>
      <c r="G30" s="11">
        <f>SUM(IF(A29="1 ступень",$E$4:$E$5,$F$4:$F$5),E30:F30)</f>
        <v>2.110416183568602</v>
      </c>
      <c r="H30" s="10">
        <f>IF(A29="отделение",$F$2-$F$3/$P$8,IF(E30=0,IF(A29="1 ступень",$E$2,$F$2),H29+K29*$C$22)+IF(Q29&lt;=$E$17,$P$18*(Q29-Q28),0))</f>
        <v>0.006262089868568043</v>
      </c>
      <c r="I30" s="12">
        <f>IF(A29="отделение",$F$15*$P$4,MAX(IF(A29="1 ступень",$Q$12,$Q$14)/AX30^$P$7-$P$4,0))</f>
        <v>541510.634699864</v>
      </c>
      <c r="J30" s="17">
        <f>IF(A29="отделение",IF($H$8&gt;1,0,IF(E30=0,MIN(SQRT(I30)*SQRT(2/($P$10*(I30/$P$4+1))),AU30),SQRT(2*I30/$P$8))),IF(B29="полет",IF($H$8=2,IF(D30&lt;$K$4,0,IF(E30=0,MIN(SQRT(I30)*SQRT(2/($P$10*(I30/$P$4+1))),AU30),SQRT(2*I30/$P$8))),IF(Q29&gt;Q28,0,IF(E30=0,MIN(SQRT(I30)*SQRT(2/($P$10*(I30/$P$4+1))),AU30),SQRT(2*I30/$P$8)))),IF(E30=0,MIN(SQRT(I30)*SQRT(2/($P$10*(I30/$P$4+1))),AU30),SQRT(2*I30/$P$8))))</f>
        <v>32.90928849731832</v>
      </c>
      <c r="K30" s="17">
        <f>IF(Q29&lt;$E$17,($P$17-$P$18)*$Q$11,IF(A29="1 ступень",$P$17,$Q$17)*IF(E30&gt;0,$P$11,$R$11))*J30</f>
        <v>0.0024134537967686726</v>
      </c>
      <c r="L30" s="17">
        <f>K30*IF(E30=0,AW30,$P$8)</f>
        <v>2.4134537967686724</v>
      </c>
      <c r="M30" s="9">
        <f>$P$5*G30</f>
        <v>20.69611286659303</v>
      </c>
      <c r="N30" s="17">
        <f>IF(P29&gt;0,-1,1)*IF(A29="1 ступень",$E$16*$P$16,$F$16*$Q$16)*$P$10*P29^2/2</f>
        <v>-1.7391036556433868</v>
      </c>
      <c r="O30" s="17">
        <f>(IF(Q29&lt;$E$17,$P$18*I30,0)+L30*J30)/G30-(M30-N30)/G30</f>
        <v>268.8339791516203</v>
      </c>
      <c r="P30" s="17">
        <f>IF(Q29=0,0,P29+O30*C30)</f>
        <v>12.553403070754188</v>
      </c>
      <c r="Q30" s="17">
        <f>MAX(Q29+P29*C30+O30*C30^2/2,0)</f>
        <v>0.27836912811197445</v>
      </c>
      <c r="R30" s="17"/>
      <c r="S30" s="17">
        <f>IF(AJ29&lt;($E$17-0.4),S29,IF(AH29=0,S29,ATAN(AF29/AE29)*180/PI()+IF(AE29&lt;0,180,0)))</f>
        <v>8.59929087130464</v>
      </c>
      <c r="T30" s="17">
        <f>COS(S30*PI()/180)</f>
        <v>0.9887582317149771</v>
      </c>
      <c r="U30" s="17">
        <f>SIN(S30*PI()/180)</f>
        <v>0.14952310595982032</v>
      </c>
      <c r="V30" s="32">
        <f>X30*$T30</f>
        <v>-1.7208136874587339</v>
      </c>
      <c r="W30" s="32">
        <f>X30*$U30</f>
        <v>-0.26022681690418736</v>
      </c>
      <c r="X30" s="32">
        <f>IF(AE29&gt;0,-1,1)*IF(A29="1 ступень",$E$16*$P$16,$F$16*$Q$16)*$P$10*AG29^2/2</f>
        <v>-1.7403786206401786</v>
      </c>
      <c r="Y30" s="32">
        <f>AA30*$T30</f>
        <v>583.1565503095779</v>
      </c>
      <c r="Z30" s="32">
        <f>AA30*$U30</f>
        <v>88.18675371416535</v>
      </c>
      <c r="AA30" s="32">
        <f>IF(AJ29&lt;$E$17,$P$18*I30,0)+L30*J30</f>
        <v>589.7867968169601</v>
      </c>
      <c r="AB30" s="17">
        <f>IF(AH29=0,0,Y30/G30-(M30-V30)/G30)</f>
        <v>265.7009684257373</v>
      </c>
      <c r="AC30" s="17">
        <f>IF(AH29=0,0,Z30/G30+W30/G30)</f>
        <v>41.6631219860066</v>
      </c>
      <c r="AD30" s="17">
        <f>SQRT(AB30^2+AC30^2)</f>
        <v>268.9476163790925</v>
      </c>
      <c r="AE30" s="32">
        <f>IF(AH29=0,0,AE29+AB30*C30)</f>
        <v>12.416621351385913</v>
      </c>
      <c r="AF30" s="32">
        <f>IF(AH29=0,0,AF29+AC30*C30)</f>
        <v>1.8791632283359936</v>
      </c>
      <c r="AG30" s="32">
        <f>SQRT(AE30^2+AF30^2)</f>
        <v>12.558014979383593</v>
      </c>
      <c r="AH30" s="32">
        <f>MAX(AH29+AE29*C30+AB30*C30^2/2,0)</f>
        <v>0.27541539154444605</v>
      </c>
      <c r="AI30" s="32">
        <f>IF(AH30=0,0,AI29+AF29*C30+AC30*C30^2/2)</f>
        <v>0.04112018260773916</v>
      </c>
      <c r="AJ30" s="32">
        <f>SQRT(AH30^2+AI30^2)</f>
        <v>0.2784681441696237</v>
      </c>
      <c r="AK30" s="39">
        <f>(ABS(X30/G30)-(IF(AH29&lt;$E$17,$P$18*I30,0)+L30*J30)/G30)/$P$5+IF(AH30&gt;0,0,1)</f>
        <v>-28.413375109947562</v>
      </c>
      <c r="AL30" s="32">
        <f>-((IF(Q29&lt;$E$17,$P$18*I30,0)+L30*J30)/G30)/$P$5</f>
        <v>-28.49746716297504</v>
      </c>
      <c r="AM30" s="32">
        <f>ABS(N30/G30/$P$5)</f>
        <v>0.08403044894727983</v>
      </c>
      <c r="AN30" s="32">
        <f>M30*T30/G30/$P$5</f>
        <v>0.9887582317149772</v>
      </c>
      <c r="AO30" s="32">
        <f>AN30</f>
        <v>0.9887582317149772</v>
      </c>
      <c r="AP30" s="32">
        <f>AL30+AM30+AN30</f>
        <v>-27.42467848231278</v>
      </c>
      <c r="AQ30" s="32">
        <f>AP30-AO30</f>
        <v>-28.413436714027757</v>
      </c>
      <c r="AR30" s="32">
        <f>(ABS(N30/G30)+M30*T30/G30-(IF(Q29&lt;$E$17,$P$18*I30,0)+L30*J30)/G30)/$P$5</f>
        <v>-27.424678482312785</v>
      </c>
      <c r="AS30" s="32"/>
      <c r="AT30" s="8">
        <f>IF(A29="отделение",$K$2,IF(A29="1 ступень",$Q$13,$Q$15)/AX30^($P$7-1)-273.15)</f>
        <v>7.015349518015626</v>
      </c>
      <c r="AU30" s="17">
        <f>SQRT($P$7*$P$6*(AT30+273.15)/$P$3)</f>
        <v>335.54928977286824</v>
      </c>
      <c r="AV30" s="17">
        <f>IF(A29="отделение",($F$15+1)*H30/$Q$2,AV29-IF(E29&gt;0,0,AV29*(K29/H29)*C29))</f>
        <v>1.7281048561100283</v>
      </c>
      <c r="AW30" s="17">
        <f>AV30*$P$3/H30</f>
        <v>7.993101559521228</v>
      </c>
      <c r="AX30" s="17">
        <f>IF(A29="отделение",$F$2-$F$3/$P$8,IF(E29&gt;0,H30,AX29^2/(AX29-K29*C29)))</f>
        <v>0.006262089868568043</v>
      </c>
      <c r="AY30" s="17">
        <f>-($P$5*$F$6-IF(P29&gt;0,-1,1)*$F$16*$P$10*P29^2*$Q$16/2)/$F$6</f>
        <v>-9.972588646944308</v>
      </c>
    </row>
  </sheetData>
  <sheetProtection insertRows="0" deleteRows="0"/>
  <mergeCells count="47">
    <mergeCell ref="A6:C6"/>
    <mergeCell ref="A1:C1"/>
    <mergeCell ref="A2:C2"/>
    <mergeCell ref="A3:C3"/>
    <mergeCell ref="A4:C4"/>
    <mergeCell ref="A5:C5"/>
    <mergeCell ref="A7:C7"/>
    <mergeCell ref="A8:C8"/>
    <mergeCell ref="A9:C9"/>
    <mergeCell ref="A10:C10"/>
    <mergeCell ref="A11:C11"/>
    <mergeCell ref="H12:I12"/>
    <mergeCell ref="A13:C13"/>
    <mergeCell ref="H13:I14"/>
    <mergeCell ref="A14:C14"/>
    <mergeCell ref="A15:C15"/>
    <mergeCell ref="H15:I15"/>
    <mergeCell ref="A12:C12"/>
    <mergeCell ref="A16:C16"/>
    <mergeCell ref="H16:I16"/>
    <mergeCell ref="A17:C17"/>
    <mergeCell ref="A18:C18"/>
    <mergeCell ref="A19:A20"/>
    <mergeCell ref="B19:B20"/>
    <mergeCell ref="C19:C20"/>
    <mergeCell ref="D19:D20"/>
    <mergeCell ref="E19:E20"/>
    <mergeCell ref="F19:F20"/>
    <mergeCell ref="S19:S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AT19:AY19"/>
    <mergeCell ref="T19:U19"/>
    <mergeCell ref="V19:X19"/>
    <mergeCell ref="Y19:AA19"/>
    <mergeCell ref="AB19:AD19"/>
    <mergeCell ref="AE19:AG19"/>
    <mergeCell ref="AH19:AJ19"/>
  </mergeCells>
  <conditionalFormatting sqref="A23:A30">
    <cfRule type="containsText" priority="38" dxfId="11" operator="containsText" stopIfTrue="1" text="отделение">
      <formula>NOT(ISERROR(SEARCH("отделение",'Расчет двухступенчатой раке исх'!A23)))</formula>
    </cfRule>
  </conditionalFormatting>
  <conditionalFormatting sqref="A23:A30">
    <cfRule type="cellIs" priority="36" dxfId="12" operator="equal" stopIfTrue="1">
      <formula>"1 ступень"</formula>
    </cfRule>
    <cfRule type="cellIs" priority="37" dxfId="13" operator="equal" stopIfTrue="1">
      <formula>"2 ступень"</formula>
    </cfRule>
  </conditionalFormatting>
  <conditionalFormatting sqref="B23:B30">
    <cfRule type="cellIs" priority="30" dxfId="14" operator="equal">
      <formula>"отделение"</formula>
    </cfRule>
    <cfRule type="cellIs" priority="31" dxfId="13" operator="equal">
      <formula>"торможение"</formula>
    </cfRule>
    <cfRule type="cellIs" priority="32" dxfId="15" operator="equal">
      <formula>"полет"</formula>
    </cfRule>
    <cfRule type="cellIs" priority="33" dxfId="12" operator="equal">
      <formula>"выхлоп"</formula>
    </cfRule>
    <cfRule type="cellIs" priority="34" dxfId="11" operator="equal">
      <formula>"разгон"</formula>
    </cfRule>
    <cfRule type="cellIs" priority="35" dxfId="16" operator="equal">
      <formula>"разгон"</formula>
    </cfRule>
  </conditionalFormatting>
  <conditionalFormatting sqref="B23:B30">
    <cfRule type="cellIs" priority="29" dxfId="17" operator="equal">
      <formula>"отделение"</formula>
    </cfRule>
  </conditionalFormatting>
  <conditionalFormatting sqref="B23:B30">
    <cfRule type="cellIs" priority="28" dxfId="16" operator="equal">
      <formula>"старт"</formula>
    </cfRule>
  </conditionalFormatting>
  <printOptions/>
  <pageMargins left="0.7" right="0.7" top="0.75" bottom="0.75" header="0.3" footer="0.3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Mikhail.Morozov</dc:creator>
  <cp:keywords/>
  <dc:description/>
  <cp:lastModifiedBy>MAGK</cp:lastModifiedBy>
  <dcterms:created xsi:type="dcterms:W3CDTF">2012-05-28T10:06:30Z</dcterms:created>
  <dcterms:modified xsi:type="dcterms:W3CDTF">2012-10-05T18:53:56Z</dcterms:modified>
  <cp:category/>
  <cp:version/>
  <cp:contentType/>
  <cp:contentStatus/>
</cp:coreProperties>
</file>