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895" windowHeight="10680" activeTab="0"/>
  </bookViews>
  <sheets>
    <sheet name="Лист1" sheetId="1" r:id="rId1"/>
  </sheets>
  <definedNames>
    <definedName name="solver_adj" localSheetId="0" hidden="1">'Лист1'!$C$5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'Лист1'!$M$11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<sst xmlns="http://schemas.openxmlformats.org/spreadsheetml/2006/main" count="86" uniqueCount="76">
  <si>
    <t>Стартовые параметры</t>
  </si>
  <si>
    <t>Используемые величины</t>
  </si>
  <si>
    <t>Физические константы</t>
  </si>
  <si>
    <t>Объем</t>
  </si>
  <si>
    <t>куб м</t>
  </si>
  <si>
    <t>Плотность РТ</t>
  </si>
  <si>
    <t>кг/куб м</t>
  </si>
  <si>
    <t>Молярный объем газа, НУ</t>
  </si>
  <si>
    <t>Масса воды</t>
  </si>
  <si>
    <t>кг</t>
  </si>
  <si>
    <t>Плотность воздуха, НУ</t>
  </si>
  <si>
    <t>Молярная масса воздуха</t>
  </si>
  <si>
    <t>Масса ракеты</t>
  </si>
  <si>
    <t>Температура пуска</t>
  </si>
  <si>
    <t>цельсий</t>
  </si>
  <si>
    <t>Давление воздуха, НУ</t>
  </si>
  <si>
    <t>Па</t>
  </si>
  <si>
    <t>Масса балласта</t>
  </si>
  <si>
    <t>g</t>
  </si>
  <si>
    <t>Диаметр ракеты</t>
  </si>
  <si>
    <t>м</t>
  </si>
  <si>
    <t>Плотность воздуха</t>
  </si>
  <si>
    <t>R</t>
  </si>
  <si>
    <t>Диаметр сопла</t>
  </si>
  <si>
    <t>k</t>
  </si>
  <si>
    <t>Нач давление</t>
  </si>
  <si>
    <t>Коэффициент расхода</t>
  </si>
  <si>
    <t>Коэфф сопр</t>
  </si>
  <si>
    <t>Максимальное ускорение</t>
  </si>
  <si>
    <t>Длина стержня</t>
  </si>
  <si>
    <t>P*V^k</t>
  </si>
  <si>
    <t>нач значение</t>
  </si>
  <si>
    <t>Максимальная скорость</t>
  </si>
  <si>
    <t>Диаметр стержня</t>
  </si>
  <si>
    <t>T*V^(k-1)</t>
  </si>
  <si>
    <t>Максимальная высота</t>
  </si>
  <si>
    <t>Приращение времени</t>
  </si>
  <si>
    <t>Время</t>
  </si>
  <si>
    <t>Избыточное давление</t>
  </si>
  <si>
    <t>Остаток массы воды</t>
  </si>
  <si>
    <t>Остаток массы воздуха</t>
  </si>
  <si>
    <t>Скорость истечения рабочего тела</t>
  </si>
  <si>
    <t>Объемный расход рабочего тела</t>
  </si>
  <si>
    <t>Сек расх массы рабочего тела</t>
  </si>
  <si>
    <t>Сила тяжести</t>
  </si>
  <si>
    <t>Сила сопротивления воздуха</t>
  </si>
  <si>
    <t>Ускорение</t>
  </si>
  <si>
    <t>Скорость</t>
  </si>
  <si>
    <t>Высота</t>
  </si>
  <si>
    <t>Вспомогательные вычисления</t>
  </si>
  <si>
    <t>Температура газа</t>
  </si>
  <si>
    <t>Скорость звука</t>
  </si>
  <si>
    <t>Кол-во вещества</t>
  </si>
  <si>
    <t>Масса кубометра</t>
  </si>
  <si>
    <t>Эквивалентный объем</t>
  </si>
  <si>
    <t>t</t>
  </si>
  <si>
    <t>Vr</t>
  </si>
  <si>
    <t>Мг</t>
  </si>
  <si>
    <t>Мп</t>
  </si>
  <si>
    <t>Мр</t>
  </si>
  <si>
    <t>Vрт</t>
  </si>
  <si>
    <t>Rv</t>
  </si>
  <si>
    <t>Rm</t>
  </si>
  <si>
    <t>Fg</t>
  </si>
  <si>
    <t>Fc</t>
  </si>
  <si>
    <t>a</t>
  </si>
  <si>
    <t>V</t>
  </si>
  <si>
    <t>H</t>
  </si>
  <si>
    <t>T</t>
  </si>
  <si>
    <t>C</t>
  </si>
  <si>
    <t>N</t>
  </si>
  <si>
    <t>Mуд</t>
  </si>
  <si>
    <t>Vэкв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</si>
  <si>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</si>
  <si>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P</t>
    </r>
  </si>
  <si>
    <t>атм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</si>
</sst>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#,##0.0000"/>
    <numFmt numFmtId="167" formatCode="0.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3" sqref="A13:A14"/>
    </sheetView>
  </sheetViews>
  <sheetFormatPr defaultColWidth="9.140625" defaultRowHeight="15"/>
  <cols>
    <col min="1" max="1" width="16.28125" style="1" bestFit="1" customWidth="1"/>
    <col min="2" max="2" width="8.57421875" style="1" customWidth="1"/>
    <col min="3" max="3" width="8.00390625" style="1" customWidth="1"/>
    <col min="4" max="4" width="9.7109375" style="1" customWidth="1"/>
    <col min="5" max="5" width="10.140625" style="1" customWidth="1"/>
    <col min="6" max="6" width="10.57421875" style="1" customWidth="1"/>
    <col min="7" max="7" width="9.28125" style="1" bestFit="1" customWidth="1"/>
    <col min="8" max="8" width="9.140625" style="1" customWidth="1"/>
    <col min="9" max="9" width="10.28125" style="1" customWidth="1"/>
    <col min="10" max="10" width="12.00390625" style="1" bestFit="1" customWidth="1"/>
    <col min="11" max="12" width="9.140625" style="1" customWidth="1"/>
    <col min="13" max="13" width="12.00390625" style="1" bestFit="1" customWidth="1"/>
    <col min="14" max="14" width="11.28125" style="1" customWidth="1"/>
    <col min="15" max="16384" width="9.140625" style="1" customWidth="1"/>
  </cols>
  <sheetData>
    <row r="1" spans="1:10" ht="15">
      <c r="A1" s="24" t="s">
        <v>0</v>
      </c>
      <c r="E1" s="24" t="s">
        <v>1</v>
      </c>
      <c r="J1" s="24" t="s">
        <v>2</v>
      </c>
    </row>
    <row r="2" spans="1:13" ht="15">
      <c r="A2" s="1" t="s">
        <v>3</v>
      </c>
      <c r="B2" s="1" t="s">
        <v>4</v>
      </c>
      <c r="C2" s="2">
        <v>0.0015</v>
      </c>
      <c r="E2" s="1" t="s">
        <v>5</v>
      </c>
      <c r="G2" s="1">
        <v>1000</v>
      </c>
      <c r="H2" s="1" t="s">
        <v>6</v>
      </c>
      <c r="J2" s="1" t="s">
        <v>7</v>
      </c>
      <c r="M2" s="1">
        <v>0.022413996</v>
      </c>
    </row>
    <row r="3" spans="1:13" ht="15">
      <c r="A3" s="1" t="s">
        <v>8</v>
      </c>
      <c r="B3" s="1" t="s">
        <v>9</v>
      </c>
      <c r="C3" s="3">
        <v>0.36181951086594527</v>
      </c>
      <c r="E3" s="1" t="s">
        <v>10</v>
      </c>
      <c r="G3" s="1">
        <f>1/M2*M3</f>
        <v>1.2922461483440972</v>
      </c>
      <c r="H3" s="1" t="s">
        <v>6</v>
      </c>
      <c r="J3" s="1" t="s">
        <v>11</v>
      </c>
      <c r="M3" s="1">
        <v>0.0289644</v>
      </c>
    </row>
    <row r="4" spans="1:14" ht="15">
      <c r="A4" s="1" t="s">
        <v>12</v>
      </c>
      <c r="B4" s="1" t="s">
        <v>9</v>
      </c>
      <c r="C4" s="3">
        <v>0.05</v>
      </c>
      <c r="E4" s="1" t="s">
        <v>13</v>
      </c>
      <c r="G4" s="1">
        <v>15</v>
      </c>
      <c r="H4" s="1" t="s">
        <v>14</v>
      </c>
      <c r="J4" s="1" t="s">
        <v>15</v>
      </c>
      <c r="M4" s="1">
        <v>101325</v>
      </c>
      <c r="N4" s="1" t="s">
        <v>16</v>
      </c>
    </row>
    <row r="5" spans="1:13" ht="15">
      <c r="A5" s="1" t="s">
        <v>17</v>
      </c>
      <c r="B5" s="1" t="s">
        <v>9</v>
      </c>
      <c r="C5" s="3">
        <v>0.04246087281057127</v>
      </c>
      <c r="J5" s="1" t="s">
        <v>18</v>
      </c>
      <c r="M5" s="1">
        <v>9.80665</v>
      </c>
    </row>
    <row r="6" spans="1:13" ht="15">
      <c r="A6" s="1" t="s">
        <v>19</v>
      </c>
      <c r="B6" s="1" t="s">
        <v>20</v>
      </c>
      <c r="C6" s="1">
        <v>0.09</v>
      </c>
      <c r="D6" s="1">
        <f>PI()*C6^2/4</f>
        <v>0.0063617251235193305</v>
      </c>
      <c r="E6" s="1" t="s">
        <v>21</v>
      </c>
      <c r="G6" s="1">
        <f>M4*M3/M6/(273.15+G4)</f>
        <v>1.224985895785789</v>
      </c>
      <c r="H6" s="1" t="s">
        <v>6</v>
      </c>
      <c r="J6" s="1" t="s">
        <v>22</v>
      </c>
      <c r="M6" s="1">
        <v>8.31441</v>
      </c>
    </row>
    <row r="7" spans="1:13" ht="15">
      <c r="A7" s="1" t="s">
        <v>23</v>
      </c>
      <c r="B7" s="1" t="s">
        <v>20</v>
      </c>
      <c r="C7" s="1">
        <v>0.009</v>
      </c>
      <c r="D7" s="1">
        <f>PI()*C7^2/4</f>
        <v>6.36172512351933E-05</v>
      </c>
      <c r="J7" s="1" t="s">
        <v>24</v>
      </c>
      <c r="M7" s="1">
        <v>1.4</v>
      </c>
    </row>
    <row r="8" spans="1:9" ht="15.75" thickBot="1">
      <c r="A8" s="1" t="s">
        <v>25</v>
      </c>
      <c r="B8" s="22" t="s">
        <v>75</v>
      </c>
      <c r="C8" s="4">
        <v>6</v>
      </c>
      <c r="D8" s="4"/>
      <c r="E8" s="1" t="s">
        <v>26</v>
      </c>
      <c r="G8" s="1">
        <v>0.95</v>
      </c>
      <c r="H8" s="1">
        <v>0.5</v>
      </c>
      <c r="I8" s="5">
        <v>0.839</v>
      </c>
    </row>
    <row r="9" spans="1:14" ht="15">
      <c r="A9" s="1" t="s">
        <v>27</v>
      </c>
      <c r="C9" s="1">
        <v>0.4</v>
      </c>
      <c r="J9" s="6" t="s">
        <v>28</v>
      </c>
      <c r="K9" s="7"/>
      <c r="L9" s="7"/>
      <c r="M9" s="8">
        <f>N9/9.80665</f>
        <v>37.07107961206172</v>
      </c>
      <c r="N9" s="9">
        <f>MAX(N17:N50)</f>
        <v>363.5431028776251</v>
      </c>
    </row>
    <row r="10" spans="1:14" ht="15">
      <c r="A10" s="1" t="s">
        <v>29</v>
      </c>
      <c r="B10" s="1" t="s">
        <v>20</v>
      </c>
      <c r="C10" s="1">
        <v>0</v>
      </c>
      <c r="E10" s="1" t="s">
        <v>30</v>
      </c>
      <c r="F10" s="1" t="s">
        <v>31</v>
      </c>
      <c r="H10" s="1">
        <f>(C8+1)*M4*D17^M7</f>
        <v>53.64265239268952</v>
      </c>
      <c r="J10" s="10" t="s">
        <v>32</v>
      </c>
      <c r="K10" s="5"/>
      <c r="L10" s="5"/>
      <c r="M10" s="11">
        <f>MAX(O17:O50)</f>
        <v>45.558154786976566</v>
      </c>
      <c r="N10" s="9"/>
    </row>
    <row r="11" spans="1:18" ht="15.75" thickBot="1">
      <c r="A11" s="1" t="s">
        <v>33</v>
      </c>
      <c r="B11" s="1" t="s">
        <v>20</v>
      </c>
      <c r="C11" s="1">
        <v>0.006</v>
      </c>
      <c r="D11" s="1">
        <f>PI()*C11^2/4</f>
        <v>2.8274333882308137E-05</v>
      </c>
      <c r="E11" s="1" t="s">
        <v>34</v>
      </c>
      <c r="F11" s="1" t="s">
        <v>31</v>
      </c>
      <c r="H11" s="1">
        <f>(273.15+G4)*D17^(M7-1)</f>
        <v>19.14710322118895</v>
      </c>
      <c r="J11" s="12" t="s">
        <v>35</v>
      </c>
      <c r="K11" s="13"/>
      <c r="L11" s="13"/>
      <c r="M11" s="14">
        <f>MAX(P17:P50)</f>
        <v>4.017993727694617</v>
      </c>
      <c r="N11" s="9"/>
      <c r="P11" s="15"/>
      <c r="R11" s="9"/>
    </row>
    <row r="12" ht="15">
      <c r="I12" s="16">
        <f>IF(C10&gt;C2*260,"Не длинноват стержень?","")</f>
      </c>
    </row>
    <row r="13" spans="1:22" ht="15">
      <c r="A13" s="27"/>
      <c r="B13" s="26" t="s">
        <v>36</v>
      </c>
      <c r="C13" s="26" t="s">
        <v>37</v>
      </c>
      <c r="D13" s="26" t="s">
        <v>3</v>
      </c>
      <c r="E13" s="26" t="s">
        <v>38</v>
      </c>
      <c r="F13" s="26" t="s">
        <v>39</v>
      </c>
      <c r="G13" s="26" t="s">
        <v>40</v>
      </c>
      <c r="H13" s="26" t="s">
        <v>12</v>
      </c>
      <c r="I13" s="26" t="s">
        <v>41</v>
      </c>
      <c r="J13" s="26" t="s">
        <v>42</v>
      </c>
      <c r="K13" s="26" t="s">
        <v>43</v>
      </c>
      <c r="L13" s="26" t="s">
        <v>44</v>
      </c>
      <c r="M13" s="26" t="s">
        <v>45</v>
      </c>
      <c r="N13" s="26" t="s">
        <v>46</v>
      </c>
      <c r="O13" s="26" t="s">
        <v>47</v>
      </c>
      <c r="P13" s="26" t="s">
        <v>48</v>
      </c>
      <c r="R13" s="28" t="s">
        <v>49</v>
      </c>
      <c r="S13" s="28"/>
      <c r="T13" s="28"/>
      <c r="U13" s="28"/>
      <c r="V13" s="28"/>
    </row>
    <row r="14" spans="1:22" ht="45">
      <c r="A14" s="27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R14" s="17" t="s">
        <v>50</v>
      </c>
      <c r="S14" s="17" t="s">
        <v>51</v>
      </c>
      <c r="T14" s="17" t="s">
        <v>52</v>
      </c>
      <c r="U14" s="17" t="s">
        <v>53</v>
      </c>
      <c r="V14" s="17" t="s">
        <v>54</v>
      </c>
    </row>
    <row r="15" spans="2:22" s="18" customFormat="1" ht="15">
      <c r="B15" s="18" t="s">
        <v>73</v>
      </c>
      <c r="C15" s="18" t="s">
        <v>55</v>
      </c>
      <c r="D15" s="18" t="s">
        <v>56</v>
      </c>
      <c r="E15" s="18" t="s">
        <v>74</v>
      </c>
      <c r="F15" s="18" t="s">
        <v>57</v>
      </c>
      <c r="G15" s="18" t="s">
        <v>58</v>
      </c>
      <c r="H15" s="18" t="s">
        <v>59</v>
      </c>
      <c r="I15" s="18" t="s">
        <v>60</v>
      </c>
      <c r="J15" s="18" t="s">
        <v>61</v>
      </c>
      <c r="K15" s="18" t="s">
        <v>62</v>
      </c>
      <c r="L15" s="18" t="s">
        <v>63</v>
      </c>
      <c r="M15" s="18" t="s">
        <v>64</v>
      </c>
      <c r="N15" s="18" t="s">
        <v>65</v>
      </c>
      <c r="O15" s="18" t="s">
        <v>66</v>
      </c>
      <c r="P15" s="18" t="s">
        <v>67</v>
      </c>
      <c r="R15" s="18" t="s">
        <v>68</v>
      </c>
      <c r="S15" s="18" t="s">
        <v>69</v>
      </c>
      <c r="T15" s="18" t="s">
        <v>70</v>
      </c>
      <c r="U15" s="18" t="s">
        <v>71</v>
      </c>
      <c r="V15" s="18" t="s">
        <v>72</v>
      </c>
    </row>
    <row r="16" spans="2:22" ht="15">
      <c r="B16" s="3">
        <v>0.01</v>
      </c>
      <c r="N16" s="5"/>
      <c r="O16" s="19"/>
      <c r="P16" s="20"/>
      <c r="T16" s="1">
        <f>(C8+1)*D17/M2</f>
        <v>0.3554593042641028</v>
      </c>
      <c r="V16" s="2">
        <f>C2</f>
        <v>0.0015</v>
      </c>
    </row>
    <row r="17" spans="1:22" ht="15">
      <c r="A17" s="1" t="str">
        <f aca="true" t="shared" si="0" ref="A17:A50">IF(AND(P17&lt;=$C$10,E17&gt;0),"старт",IF(F17&gt;0,"разгон",IF(E17&gt;0,"выхлоп","торможение")))</f>
        <v>разгон</v>
      </c>
      <c r="B17" s="1">
        <f>IF(AND(E17&gt;100000,F17=0),$B$16/10,$B$16)</f>
        <v>0.01</v>
      </c>
      <c r="C17" s="3">
        <v>0</v>
      </c>
      <c r="D17" s="21">
        <f>C2-C3/G2-IF(P16&lt;=$C$10,D11*($C$10-P16),0)</f>
        <v>0.0011381804891340548</v>
      </c>
      <c r="E17" s="4">
        <f>C8*M4</f>
        <v>607950</v>
      </c>
      <c r="F17" s="2">
        <f>C3</f>
        <v>0.36181951086594527</v>
      </c>
      <c r="G17" s="21">
        <f>T17*$M$3</f>
        <v>0.01029566547242718</v>
      </c>
      <c r="H17" s="15">
        <f>SUM($C$4:$C$5,F17:G17)</f>
        <v>0.46457604914894374</v>
      </c>
      <c r="I17" s="1">
        <f>IF(F17=0,MIN(SQRT(E17)*SQRT(2/($G$6*(E17/$M$4+1))),S17),SQRT(2*E17/$G$2))</f>
        <v>34.8697576705087</v>
      </c>
      <c r="J17" s="1">
        <f aca="true" t="shared" si="1" ref="J17:J50">IF(P16&lt;=$C$10,($D$7-$D$11)*$H$8,$D$7*IF(F17&gt;0,$G$8,$I$8))*I17</f>
        <v>0.0006161994817319613</v>
      </c>
      <c r="K17" s="1">
        <f>J17*IF(F17=0,U17,$G$2)</f>
        <v>0.6161994817319613</v>
      </c>
      <c r="L17" s="2">
        <f>$M$5*H17</f>
        <v>4.555934712386489</v>
      </c>
      <c r="M17" s="1">
        <v>0</v>
      </c>
      <c r="N17" s="1">
        <f>(IF(P16&lt;=$C$10,$D$11*E17,0)+K17*I17)/H17-(L17-M17)/H17</f>
        <v>73.44367674260002</v>
      </c>
      <c r="O17" s="1">
        <f>IF(AND(G17&gt;0,F17=0),O16+N17*B17/10,O16+N17*B17)</f>
        <v>0.7344367674260002</v>
      </c>
      <c r="P17" s="1">
        <f>P16+(O16+O17)/2*B17</f>
        <v>0.003672183837130001</v>
      </c>
      <c r="R17" s="9">
        <f>G4</f>
        <v>15</v>
      </c>
      <c r="S17" s="1">
        <f>SQRT($M$7*$M$6*(R17+273.15)/$M$3)</f>
        <v>340.2959495723622</v>
      </c>
      <c r="T17" s="1">
        <f>T16-IF(F17&gt;0,0,T16*(J17/D17)*B17)</f>
        <v>0.3554593042641028</v>
      </c>
      <c r="U17" s="1">
        <f>1/D17*T17*$M$3</f>
        <v>9.045723038408681</v>
      </c>
      <c r="V17" s="25">
        <f aca="true" t="shared" si="2" ref="V17:V36">IF(F17&gt;0,D17,V16^2/(V16-J17*B17))</f>
        <v>0.0011381804891340548</v>
      </c>
    </row>
    <row r="18" spans="1:22" ht="15">
      <c r="A18" s="1" t="str">
        <f t="shared" si="0"/>
        <v>разгон</v>
      </c>
      <c r="B18" s="1">
        <f>IF(AND(E18&gt;100000,F18=0),$B$16/10,$B$16)</f>
        <v>0.01</v>
      </c>
      <c r="C18" s="3">
        <f>C17+B18</f>
        <v>0.01</v>
      </c>
      <c r="D18" s="21">
        <f>IF(F18=0,$C$2,D17+J17*$B$16)+IF(P17&lt;=$C$10,$D$11*P17,0)</f>
        <v>0.0011443424839513744</v>
      </c>
      <c r="E18" s="4">
        <f>MAX($H$10/IF(F17&gt;0,D18,V17)^$M$7-$M$4,0)</f>
        <v>602608.7915826339</v>
      </c>
      <c r="F18" s="2">
        <f>MAX(IF((F17-K17*B17)&lt;K17*B17,0,F17-K17*B17),0)</f>
        <v>0.35565751604862567</v>
      </c>
      <c r="G18" s="21">
        <f>IF(F17=0,MAX(G17-K17*B17,0),G17)</f>
        <v>0.01029566547242718</v>
      </c>
      <c r="H18" s="15">
        <f>SUM($C$4:$C$5,F18:G18)</f>
        <v>0.45841405433162413</v>
      </c>
      <c r="I18" s="1">
        <f>IF(F18=0,MIN(SQRT(E18)*SQRT(2/($G$6*(E18/$M$4+1))),S18),SQRT(2*E18/$G$2))</f>
        <v>34.71624379401187</v>
      </c>
      <c r="J18" s="1">
        <f t="shared" si="1"/>
        <v>0.00209812440321658</v>
      </c>
      <c r="K18" s="1">
        <f>J18*IF(F18=0,U18,$G$2)</f>
        <v>2.09812440321658</v>
      </c>
      <c r="L18" s="2">
        <f>$M$5*H18</f>
        <v>4.495506185911221</v>
      </c>
      <c r="M18" s="1">
        <f>IF(O17&gt;0,-1,1)*$C$9*$G$6*O17^2*$D$6/2</f>
        <v>-0.0008407072741029091</v>
      </c>
      <c r="N18" s="1">
        <f>(IF(P17&lt;=$C$10,$D$11*E18,0)+K18*I18)/H18-(L18-M18)/H18</f>
        <v>149.08498278634139</v>
      </c>
      <c r="O18" s="1">
        <f>O17+N18*B18</f>
        <v>2.225286595289414</v>
      </c>
      <c r="P18" s="1">
        <f>MAX(0,P17+(O17+O18)/2*B18)</f>
        <v>0.01847080065070707</v>
      </c>
      <c r="R18" s="9">
        <f>$H$11/(IF(F17&gt;0,D18,V17)^($M$7-1))-273.15</f>
        <v>14.37834855885302</v>
      </c>
      <c r="S18" s="1">
        <f aca="true" t="shared" si="3" ref="S18:S50">SQRT($M$7*$M$6*(R18+273.15)/$M$3)</f>
        <v>339.92867612599906</v>
      </c>
      <c r="T18" s="1">
        <f>T17-IF(F18&gt;0,0,T17*(J18/D18)*B18)</f>
        <v>0.3554593042641028</v>
      </c>
      <c r="U18" s="1">
        <f>1/D18*T18*$M$3</f>
        <v>8.997014107941364</v>
      </c>
      <c r="V18" s="25">
        <f t="shared" si="2"/>
        <v>0.0011443424839513744</v>
      </c>
    </row>
    <row r="19" spans="1:22" ht="15">
      <c r="A19" s="1" t="str">
        <f t="shared" si="0"/>
        <v>разгон</v>
      </c>
      <c r="B19" s="1">
        <f aca="true" t="shared" si="4" ref="B19:B27">IF(AND(E19&gt;100000,F19=0),$B$16/10,$B$16)</f>
        <v>0.01</v>
      </c>
      <c r="C19" s="3">
        <f aca="true" t="shared" si="5" ref="C19:C27">C18+B19</f>
        <v>0.02</v>
      </c>
      <c r="D19" s="21">
        <f aca="true" t="shared" si="6" ref="D19:D27">IF(F19=0,$C$2,D18+J18*$B$16)+IF(P18&lt;=$C$10,$D$11*P18,0)</f>
        <v>0.0011653237279835402</v>
      </c>
      <c r="E19" s="4">
        <f aca="true" t="shared" si="7" ref="E19:E27">MAX($H$10/IF(F18&gt;0,D19,V18)^$M$7-$M$4,0)</f>
        <v>584929.2045822064</v>
      </c>
      <c r="F19" s="2">
        <f aca="true" t="shared" si="8" ref="F19:F27">MAX(IF((F18-K18*B18)&lt;K18*B18,0,F18-K18*B18),0)</f>
        <v>0.3346762720164599</v>
      </c>
      <c r="G19" s="21">
        <f aca="true" t="shared" si="9" ref="G19:G27">IF(F18=0,MAX(G18-K18*B18,0),G18)</f>
        <v>0.01029566547242718</v>
      </c>
      <c r="H19" s="15">
        <f aca="true" t="shared" si="10" ref="H19:H27">SUM($C$4:$C$5,F19:G19)</f>
        <v>0.4374328102994583</v>
      </c>
      <c r="I19" s="1">
        <f aca="true" t="shared" si="11" ref="I19:I27">IF(F19=0,MIN(SQRT(E19)*SQRT(2/($G$6*(E19/$M$4+1))),S19),SQRT(2*E19/$G$2))</f>
        <v>34.20319296738848</v>
      </c>
      <c r="J19" s="1">
        <f t="shared" si="1"/>
        <v>0.002067117464049542</v>
      </c>
      <c r="K19" s="1">
        <f aca="true" t="shared" si="12" ref="K19:K50">J19*IF(F19=0,U19,$G$2)</f>
        <v>2.067117464049542</v>
      </c>
      <c r="L19" s="2">
        <f aca="true" t="shared" si="13" ref="L19:L50">$M$5*H19</f>
        <v>4.289750469123183</v>
      </c>
      <c r="M19" s="1">
        <f aca="true" t="shared" si="14" ref="M19:M27">IF(O18&gt;0,-1,1)*$C$9*$G$6*O18^2*$D$6/2</f>
        <v>-0.0077180553346652</v>
      </c>
      <c r="N19" s="1">
        <f aca="true" t="shared" si="15" ref="N19:N27">(IF(P18&lt;=$C$10,$D$11*E19,0)+K19*I19)/H19-(L19-M19)/H19</f>
        <v>151.80513994647097</v>
      </c>
      <c r="O19" s="1">
        <f aca="true" t="shared" si="16" ref="O19:O27">O18+N19*B19</f>
        <v>3.743337994754124</v>
      </c>
      <c r="P19" s="1">
        <f aca="true" t="shared" si="17" ref="P19:P50">MAX(0,P18+(O18+O19)/2*B19)</f>
        <v>0.04831392360092476</v>
      </c>
      <c r="R19" s="9">
        <f aca="true" t="shared" si="18" ref="R19:R27">$H$11/(IF(F18&gt;0,D19,V18)^($M$7-1))-273.15</f>
        <v>12.296316273940363</v>
      </c>
      <c r="S19" s="1">
        <f t="shared" si="3"/>
        <v>338.69570491328216</v>
      </c>
      <c r="T19" s="1">
        <f aca="true" t="shared" si="19" ref="T19:T50">T18-IF(F19&gt;0,0,T18*(J19/D19)*B19)</f>
        <v>0.3554593042641028</v>
      </c>
      <c r="U19" s="1">
        <f aca="true" t="shared" si="20" ref="U19:U27">1/D19*T19*$M$3</f>
        <v>8.835026031987399</v>
      </c>
      <c r="V19" s="25">
        <f t="shared" si="2"/>
        <v>0.0011653237279835402</v>
      </c>
    </row>
    <row r="20" spans="1:22" ht="15">
      <c r="A20" s="1" t="str">
        <f t="shared" si="0"/>
        <v>разгон</v>
      </c>
      <c r="B20" s="1">
        <f t="shared" si="4"/>
        <v>0.01</v>
      </c>
      <c r="C20" s="3">
        <f t="shared" si="5"/>
        <v>0.03</v>
      </c>
      <c r="D20" s="21">
        <f t="shared" si="6"/>
        <v>0.0011859949026240357</v>
      </c>
      <c r="E20" s="4">
        <f t="shared" si="7"/>
        <v>568242.3872506173</v>
      </c>
      <c r="F20" s="2">
        <f t="shared" si="8"/>
        <v>0.3140050973759645</v>
      </c>
      <c r="G20" s="21">
        <f t="shared" si="9"/>
        <v>0.01029566547242718</v>
      </c>
      <c r="H20" s="15">
        <f t="shared" si="10"/>
        <v>0.4167616356589629</v>
      </c>
      <c r="I20" s="1">
        <f t="shared" si="11"/>
        <v>33.711789844225635</v>
      </c>
      <c r="J20" s="1">
        <f t="shared" si="1"/>
        <v>0.0020374188339027334</v>
      </c>
      <c r="K20" s="1">
        <f t="shared" si="12"/>
        <v>2.0374188339027333</v>
      </c>
      <c r="L20" s="2">
        <f t="shared" si="13"/>
        <v>4.087035494334969</v>
      </c>
      <c r="M20" s="1">
        <f t="shared" si="14"/>
        <v>-0.02184007216089581</v>
      </c>
      <c r="N20" s="1">
        <f t="shared" si="15"/>
        <v>154.9474674764526</v>
      </c>
      <c r="O20" s="1">
        <f t="shared" si="16"/>
        <v>5.29281266951865</v>
      </c>
      <c r="P20" s="1">
        <f t="shared" si="17"/>
        <v>0.09349467692228863</v>
      </c>
      <c r="R20" s="9">
        <f t="shared" si="18"/>
        <v>10.295750022234984</v>
      </c>
      <c r="S20" s="1">
        <f t="shared" si="3"/>
        <v>337.50673424417215</v>
      </c>
      <c r="T20" s="1">
        <f t="shared" si="19"/>
        <v>0.3554593042641028</v>
      </c>
      <c r="U20" s="1">
        <f t="shared" si="20"/>
        <v>8.681036865881826</v>
      </c>
      <c r="V20" s="25">
        <f t="shared" si="2"/>
        <v>0.0011859949026240357</v>
      </c>
    </row>
    <row r="21" spans="1:22" ht="15">
      <c r="A21" s="1" t="str">
        <f t="shared" si="0"/>
        <v>разгон</v>
      </c>
      <c r="B21" s="1">
        <f t="shared" si="4"/>
        <v>0.01</v>
      </c>
      <c r="C21" s="3">
        <f t="shared" si="5"/>
        <v>0.04</v>
      </c>
      <c r="D21" s="21">
        <f t="shared" si="6"/>
        <v>0.0012063690909630631</v>
      </c>
      <c r="E21" s="4">
        <f t="shared" si="7"/>
        <v>552464.530555749</v>
      </c>
      <c r="F21" s="2">
        <f t="shared" si="8"/>
        <v>0.29363090903693717</v>
      </c>
      <c r="G21" s="21">
        <f t="shared" si="9"/>
        <v>0.01029566547242718</v>
      </c>
      <c r="H21" s="15">
        <f t="shared" si="10"/>
        <v>0.39638744731993564</v>
      </c>
      <c r="I21" s="1">
        <f t="shared" si="11"/>
        <v>33.240473238380616</v>
      </c>
      <c r="J21" s="1">
        <f t="shared" si="1"/>
        <v>0.00200893416032364</v>
      </c>
      <c r="K21" s="1">
        <f t="shared" si="12"/>
        <v>2.00893416032364</v>
      </c>
      <c r="L21" s="2">
        <f t="shared" si="13"/>
        <v>3.8872329602600466</v>
      </c>
      <c r="M21" s="1">
        <f t="shared" si="14"/>
        <v>-0.04366254341756544</v>
      </c>
      <c r="N21" s="1">
        <f t="shared" si="15"/>
        <v>158.5494876670586</v>
      </c>
      <c r="O21" s="1">
        <f t="shared" si="16"/>
        <v>6.878307546189236</v>
      </c>
      <c r="P21" s="1">
        <f t="shared" si="17"/>
        <v>0.15435027800082807</v>
      </c>
      <c r="R21" s="9">
        <f t="shared" si="18"/>
        <v>8.371130619839391</v>
      </c>
      <c r="S21" s="1">
        <f t="shared" si="3"/>
        <v>336.3589335976945</v>
      </c>
      <c r="T21" s="1">
        <f t="shared" si="19"/>
        <v>0.3554593042641028</v>
      </c>
      <c r="U21" s="1">
        <f t="shared" si="20"/>
        <v>8.534424124053103</v>
      </c>
      <c r="V21" s="25">
        <f t="shared" si="2"/>
        <v>0.0012063690909630631</v>
      </c>
    </row>
    <row r="22" spans="1:22" ht="15">
      <c r="A22" s="1" t="str">
        <f t="shared" si="0"/>
        <v>разгон</v>
      </c>
      <c r="B22" s="1">
        <f t="shared" si="4"/>
        <v>0.01</v>
      </c>
      <c r="C22" s="3">
        <f t="shared" si="5"/>
        <v>0.05</v>
      </c>
      <c r="D22" s="21">
        <f t="shared" si="6"/>
        <v>0.0012264584325662996</v>
      </c>
      <c r="E22" s="4">
        <f t="shared" si="7"/>
        <v>537521.1423311031</v>
      </c>
      <c r="F22" s="2">
        <f t="shared" si="8"/>
        <v>0.2735415674337008</v>
      </c>
      <c r="G22" s="21">
        <f t="shared" si="9"/>
        <v>0.01029566547242718</v>
      </c>
      <c r="H22" s="15">
        <f t="shared" si="10"/>
        <v>0.37629810571669925</v>
      </c>
      <c r="I22" s="1">
        <f t="shared" si="11"/>
        <v>32.7878374502224</v>
      </c>
      <c r="J22" s="1">
        <f t="shared" si="1"/>
        <v>0.001981578487903004</v>
      </c>
      <c r="K22" s="1">
        <f t="shared" si="12"/>
        <v>1.9815784879030038</v>
      </c>
      <c r="L22" s="2">
        <f t="shared" si="13"/>
        <v>3.6902238184266687</v>
      </c>
      <c r="M22" s="1">
        <f t="shared" si="14"/>
        <v>-0.07373932619892909</v>
      </c>
      <c r="N22" s="1">
        <f t="shared" si="15"/>
        <v>162.6575028726734</v>
      </c>
      <c r="O22" s="1">
        <f t="shared" si="16"/>
        <v>8.50488257491597</v>
      </c>
      <c r="P22" s="1">
        <f t="shared" si="17"/>
        <v>0.2312662286063541</v>
      </c>
      <c r="R22" s="9">
        <f t="shared" si="18"/>
        <v>6.517464539540242</v>
      </c>
      <c r="S22" s="1">
        <f t="shared" si="3"/>
        <v>335.2497328666508</v>
      </c>
      <c r="T22" s="1">
        <f t="shared" si="19"/>
        <v>0.3554593042641028</v>
      </c>
      <c r="U22" s="1">
        <f t="shared" si="20"/>
        <v>8.394630587588724</v>
      </c>
      <c r="V22" s="25">
        <f t="shared" si="2"/>
        <v>0.0012264584325662996</v>
      </c>
    </row>
    <row r="23" spans="1:22" ht="15">
      <c r="A23" s="1" t="str">
        <f t="shared" si="0"/>
        <v>разгон</v>
      </c>
      <c r="B23" s="1">
        <f t="shared" si="4"/>
        <v>0.01</v>
      </c>
      <c r="C23" s="3">
        <f t="shared" si="5"/>
        <v>0.060000000000000005</v>
      </c>
      <c r="D23" s="21">
        <f t="shared" si="6"/>
        <v>0.0012462742174453297</v>
      </c>
      <c r="E23" s="4">
        <f t="shared" si="7"/>
        <v>523345.7761053804</v>
      </c>
      <c r="F23" s="2">
        <f t="shared" si="8"/>
        <v>0.25372578255467076</v>
      </c>
      <c r="G23" s="21">
        <f t="shared" si="9"/>
        <v>0.01029566547242718</v>
      </c>
      <c r="H23" s="15">
        <f t="shared" si="10"/>
        <v>0.35648232083766923</v>
      </c>
      <c r="I23" s="1">
        <f t="shared" si="11"/>
        <v>32.35261275709832</v>
      </c>
      <c r="J23" s="1">
        <f t="shared" si="1"/>
        <v>0.0019552750791890813</v>
      </c>
      <c r="K23" s="1">
        <f t="shared" si="12"/>
        <v>1.9552750791890814</v>
      </c>
      <c r="L23" s="2">
        <f t="shared" si="13"/>
        <v>3.495897351642729</v>
      </c>
      <c r="M23" s="1">
        <f t="shared" si="14"/>
        <v>-0.11273859751445034</v>
      </c>
      <c r="N23" s="1">
        <f t="shared" si="15"/>
        <v>167.32841443942033</v>
      </c>
      <c r="O23" s="1">
        <f t="shared" si="16"/>
        <v>10.178166719310173</v>
      </c>
      <c r="P23" s="1">
        <f t="shared" si="17"/>
        <v>0.3246814750774848</v>
      </c>
      <c r="R23" s="9">
        <f t="shared" si="18"/>
        <v>4.730220188424141</v>
      </c>
      <c r="S23" s="1">
        <f t="shared" si="3"/>
        <v>334.17679159131717</v>
      </c>
      <c r="T23" s="1">
        <f t="shared" si="19"/>
        <v>0.3554593042641028</v>
      </c>
      <c r="U23" s="1">
        <f t="shared" si="20"/>
        <v>8.26115579405286</v>
      </c>
      <c r="V23" s="25">
        <f t="shared" si="2"/>
        <v>0.0012462742174453297</v>
      </c>
    </row>
    <row r="24" spans="1:22" ht="15">
      <c r="A24" s="1" t="str">
        <f t="shared" si="0"/>
        <v>разгон</v>
      </c>
      <c r="B24" s="1">
        <f t="shared" si="4"/>
        <v>0.01</v>
      </c>
      <c r="C24" s="3">
        <f t="shared" si="5"/>
        <v>0.07</v>
      </c>
      <c r="D24" s="21">
        <f t="shared" si="6"/>
        <v>0.0012658269682372205</v>
      </c>
      <c r="E24" s="4">
        <f t="shared" si="7"/>
        <v>509878.9637524276</v>
      </c>
      <c r="F24" s="2">
        <f t="shared" si="8"/>
        <v>0.23417303176277995</v>
      </c>
      <c r="G24" s="21">
        <f t="shared" si="9"/>
        <v>0.01029566547242718</v>
      </c>
      <c r="H24" s="15">
        <f t="shared" si="10"/>
        <v>0.3369295700457784</v>
      </c>
      <c r="I24" s="1">
        <f t="shared" si="11"/>
        <v>31.93364882854534</v>
      </c>
      <c r="J24" s="1">
        <f t="shared" si="1"/>
        <v>0.0019299544123629049</v>
      </c>
      <c r="K24" s="1">
        <f t="shared" si="12"/>
        <v>1.9299544123629049</v>
      </c>
      <c r="L24" s="2">
        <f t="shared" si="13"/>
        <v>3.3041503680894326</v>
      </c>
      <c r="M24" s="1">
        <f t="shared" si="14"/>
        <v>-0.1614637761219722</v>
      </c>
      <c r="N24" s="1">
        <f t="shared" si="15"/>
        <v>172.63213883953364</v>
      </c>
      <c r="O24" s="1">
        <f t="shared" si="16"/>
        <v>11.90448810770551</v>
      </c>
      <c r="P24" s="1">
        <f t="shared" si="17"/>
        <v>0.4350947492125632</v>
      </c>
      <c r="R24" s="9">
        <f t="shared" si="18"/>
        <v>3.005273476460218</v>
      </c>
      <c r="S24" s="1">
        <f t="shared" si="3"/>
        <v>333.13797258877224</v>
      </c>
      <c r="T24" s="1">
        <f t="shared" si="19"/>
        <v>0.3554593042641028</v>
      </c>
      <c r="U24" s="1">
        <f t="shared" si="20"/>
        <v>8.133548842591681</v>
      </c>
      <c r="V24" s="25">
        <f t="shared" si="2"/>
        <v>0.0012658269682372205</v>
      </c>
    </row>
    <row r="25" spans="1:22" ht="15">
      <c r="A25" s="1" t="str">
        <f t="shared" si="0"/>
        <v>разгон</v>
      </c>
      <c r="B25" s="1">
        <f t="shared" si="4"/>
        <v>0.01</v>
      </c>
      <c r="C25" s="3">
        <f t="shared" si="5"/>
        <v>0.08</v>
      </c>
      <c r="D25" s="21">
        <f t="shared" si="6"/>
        <v>0.0012851265123608496</v>
      </c>
      <c r="E25" s="4">
        <f t="shared" si="7"/>
        <v>497067.3146665903</v>
      </c>
      <c r="F25" s="2">
        <f t="shared" si="8"/>
        <v>0.2148734876391509</v>
      </c>
      <c r="G25" s="21">
        <f t="shared" si="9"/>
        <v>0.01029566547242718</v>
      </c>
      <c r="H25" s="15">
        <f t="shared" si="10"/>
        <v>0.31763002592214934</v>
      </c>
      <c r="I25" s="1">
        <f t="shared" si="11"/>
        <v>31.5299005601537</v>
      </c>
      <c r="J25" s="1">
        <f t="shared" si="1"/>
        <v>0.0019055533250881618</v>
      </c>
      <c r="K25" s="1">
        <f t="shared" si="12"/>
        <v>1.9055533250881618</v>
      </c>
      <c r="L25" s="2">
        <f t="shared" si="13"/>
        <v>3.1148864937094456</v>
      </c>
      <c r="M25" s="1">
        <f t="shared" si="14"/>
        <v>-0.22088052977717815</v>
      </c>
      <c r="N25" s="1">
        <f t="shared" si="15"/>
        <v>178.65483486287832</v>
      </c>
      <c r="O25" s="1">
        <f t="shared" si="16"/>
        <v>13.691036456334292</v>
      </c>
      <c r="P25" s="1">
        <f t="shared" si="17"/>
        <v>0.5630723720327622</v>
      </c>
      <c r="R25" s="9">
        <f t="shared" si="18"/>
        <v>1.3388611051450994</v>
      </c>
      <c r="S25" s="1">
        <f t="shared" si="3"/>
        <v>332.1313192469322</v>
      </c>
      <c r="T25" s="1">
        <f t="shared" si="19"/>
        <v>0.3554593042641028</v>
      </c>
      <c r="U25" s="1">
        <f t="shared" si="20"/>
        <v>8.011402280942336</v>
      </c>
      <c r="V25" s="25">
        <f t="shared" si="2"/>
        <v>0.0012851265123608496</v>
      </c>
    </row>
    <row r="26" spans="1:22" ht="15">
      <c r="A26" s="1" t="str">
        <f t="shared" si="0"/>
        <v>разгон</v>
      </c>
      <c r="B26" s="1">
        <f t="shared" si="4"/>
        <v>0.01</v>
      </c>
      <c r="C26" s="3">
        <f t="shared" si="5"/>
        <v>0.09</v>
      </c>
      <c r="D26" s="21">
        <f t="shared" si="6"/>
        <v>0.0013041820456117313</v>
      </c>
      <c r="E26" s="4">
        <f t="shared" si="7"/>
        <v>484862.75179337675</v>
      </c>
      <c r="F26" s="2">
        <f t="shared" si="8"/>
        <v>0.1958179543882693</v>
      </c>
      <c r="G26" s="21">
        <f t="shared" si="9"/>
        <v>0.01029566547242718</v>
      </c>
      <c r="H26" s="15">
        <f t="shared" si="10"/>
        <v>0.29857449267126773</v>
      </c>
      <c r="I26" s="1">
        <f t="shared" si="11"/>
        <v>31.140415918653904</v>
      </c>
      <c r="J26" s="1">
        <f t="shared" si="1"/>
        <v>0.0018820142799121473</v>
      </c>
      <c r="K26" s="1">
        <f t="shared" si="12"/>
        <v>1.8820142799121473</v>
      </c>
      <c r="L26" s="2">
        <f t="shared" si="13"/>
        <v>2.9280155485546877</v>
      </c>
      <c r="M26" s="1">
        <f t="shared" si="14"/>
        <v>-0.29215184818963896</v>
      </c>
      <c r="N26" s="1">
        <f t="shared" si="15"/>
        <v>185.50325431029628</v>
      </c>
      <c r="O26" s="1">
        <f t="shared" si="16"/>
        <v>15.546068999437255</v>
      </c>
      <c r="P26" s="1">
        <f t="shared" si="17"/>
        <v>0.7092578993116199</v>
      </c>
      <c r="R26" s="9">
        <f t="shared" si="18"/>
        <v>-0.27245969442509477</v>
      </c>
      <c r="S26" s="1">
        <f t="shared" si="3"/>
        <v>331.1550358901308</v>
      </c>
      <c r="T26" s="1">
        <f t="shared" si="19"/>
        <v>0.3554593042641028</v>
      </c>
      <c r="U26" s="1">
        <f t="shared" si="20"/>
        <v>7.894346887437759</v>
      </c>
      <c r="V26" s="25">
        <f t="shared" si="2"/>
        <v>0.0013041820456117313</v>
      </c>
    </row>
    <row r="27" spans="1:22" ht="15">
      <c r="A27" s="1" t="str">
        <f t="shared" si="0"/>
        <v>разгон</v>
      </c>
      <c r="B27" s="1">
        <f t="shared" si="4"/>
        <v>0.01</v>
      </c>
      <c r="C27" s="3">
        <f t="shared" si="5"/>
        <v>0.09999999999999999</v>
      </c>
      <c r="D27" s="21">
        <f t="shared" si="6"/>
        <v>0.0013230021884108527</v>
      </c>
      <c r="E27" s="4">
        <f t="shared" si="7"/>
        <v>473221.8607559608</v>
      </c>
      <c r="F27" s="2">
        <f t="shared" si="8"/>
        <v>0.17699781158914782</v>
      </c>
      <c r="G27" s="21">
        <f t="shared" si="9"/>
        <v>0.01029566547242718</v>
      </c>
      <c r="H27" s="15">
        <f t="shared" si="10"/>
        <v>0.27975434987214626</v>
      </c>
      <c r="I27" s="1">
        <f t="shared" si="11"/>
        <v>30.76432546817696</v>
      </c>
      <c r="J27" s="1">
        <f t="shared" si="1"/>
        <v>0.0018592847312707559</v>
      </c>
      <c r="K27" s="1">
        <f t="shared" si="12"/>
        <v>1.8592847312707559</v>
      </c>
      <c r="L27" s="2">
        <f t="shared" si="13"/>
        <v>2.743452995173683</v>
      </c>
      <c r="M27" s="1">
        <f t="shared" si="14"/>
        <v>-0.37668399359140675</v>
      </c>
      <c r="N27" s="1">
        <f t="shared" si="15"/>
        <v>193.31068005475473</v>
      </c>
      <c r="O27" s="1">
        <f t="shared" si="16"/>
        <v>17.4791757999848</v>
      </c>
      <c r="P27" s="1">
        <f t="shared" si="17"/>
        <v>0.8743841233087302</v>
      </c>
      <c r="R27" s="9">
        <f t="shared" si="18"/>
        <v>-1.8318460081060266</v>
      </c>
      <c r="S27" s="1">
        <f t="shared" si="3"/>
        <v>330.20747073197987</v>
      </c>
      <c r="T27" s="1">
        <f t="shared" si="19"/>
        <v>0.3554593042641028</v>
      </c>
      <c r="U27" s="1">
        <f t="shared" si="20"/>
        <v>7.782047197362538</v>
      </c>
      <c r="V27" s="25">
        <f t="shared" si="2"/>
        <v>0.0013230021884108527</v>
      </c>
    </row>
    <row r="28" spans="1:22" ht="15">
      <c r="A28" s="1" t="str">
        <f t="shared" si="0"/>
        <v>разгон</v>
      </c>
      <c r="B28" s="1">
        <f>IF(AND(E28&gt;100000,F28=0),$B$16/10,$B$16)</f>
        <v>0.01</v>
      </c>
      <c r="C28" s="3">
        <f>C27+B28</f>
        <v>0.10999999999999999</v>
      </c>
      <c r="D28" s="21">
        <f>IF(F28=0,$C$2,D27+J27*$B$16)+IF(P27&lt;=$C$10,$D$11*P27,0)</f>
        <v>0.0013415950357235603</v>
      </c>
      <c r="E28" s="4">
        <f>MAX($H$10/IF(F27&gt;0,D28,V27)^$M$7-$M$4,0)</f>
        <v>462105.3329328648</v>
      </c>
      <c r="F28" s="2">
        <f>MAX(IF((F27-K27*B27)&lt;K27*B27,0,F27-K27*B27),0)</f>
        <v>0.15840496427644027</v>
      </c>
      <c r="G28" s="21">
        <f>IF(F27=0,MAX(G27-K27*B27,0),G27)</f>
        <v>0.01029566547242718</v>
      </c>
      <c r="H28" s="15">
        <f>SUM($C$4:$C$5,F28:G28)</f>
        <v>0.2611615025594387</v>
      </c>
      <c r="I28" s="1">
        <f>IF(F28=0,MIN(SQRT(E28)*SQRT(2/($G$6*(E28/$M$4+1))),S28),SQRT(2*E28/$G$2))</f>
        <v>30.400833308738918</v>
      </c>
      <c r="J28" s="1">
        <f t="shared" si="1"/>
        <v>0.0018373165778432128</v>
      </c>
      <c r="K28" s="1">
        <f t="shared" si="12"/>
        <v>1.8373165778432128</v>
      </c>
      <c r="L28" s="2">
        <f t="shared" si="13"/>
        <v>2.5611194490745195</v>
      </c>
      <c r="M28" s="1">
        <f>IF(O27&gt;0,-1,1)*$C$9*$G$6*O27^2*$D$6/2</f>
        <v>-0.47618738390406423</v>
      </c>
      <c r="N28" s="1">
        <f>(IF(P27&lt;=$C$10,$D$11*E28,0)+K28*I28)/H28-(L28-M28)/H28</f>
        <v>202.245153545915</v>
      </c>
      <c r="O28" s="1">
        <f>O27+N28*B28</f>
        <v>19.501627335443953</v>
      </c>
      <c r="P28" s="1">
        <f t="shared" si="17"/>
        <v>1.059288138985874</v>
      </c>
      <c r="R28" s="9">
        <f>$H$11/(IF(F27&gt;0,D28,V27)^($M$7-1))-273.15</f>
        <v>-3.342199516255164</v>
      </c>
      <c r="S28" s="1">
        <f t="shared" si="3"/>
        <v>329.28710101789954</v>
      </c>
      <c r="T28" s="1">
        <f t="shared" si="19"/>
        <v>0.3554593042641028</v>
      </c>
      <c r="U28" s="1">
        <f>1/D28*T28*$M$3</f>
        <v>7.674197651509971</v>
      </c>
      <c r="V28" s="25">
        <f t="shared" si="2"/>
        <v>0.0013415950357235603</v>
      </c>
    </row>
    <row r="29" spans="1:22" ht="15">
      <c r="A29" s="1" t="str">
        <f t="shared" si="0"/>
        <v>разгон</v>
      </c>
      <c r="B29" s="1">
        <f aca="true" t="shared" si="21" ref="B29:B50">IF(AND(E29&gt;100000,F29=0),$B$16/10,$B$16)</f>
        <v>0.01</v>
      </c>
      <c r="C29" s="3">
        <f aca="true" t="shared" si="22" ref="C29:C50">C28+B29</f>
        <v>0.11999999999999998</v>
      </c>
      <c r="D29" s="21">
        <f aca="true" t="shared" si="23" ref="D29:D50">IF(F29=0,$C$2,D28+J28*$B$16)+IF(P28&lt;=$C$10,$D$11*P28,0)</f>
        <v>0.0013599682015019924</v>
      </c>
      <c r="E29" s="4">
        <f aca="true" t="shared" si="24" ref="E29:E50">MAX($H$10/IF(F28&gt;0,D29,V28)^$M$7-$M$4,0)</f>
        <v>451477.4869701852</v>
      </c>
      <c r="F29" s="2">
        <f aca="true" t="shared" si="25" ref="F29:F50">MAX(IF((F28-K28*B28)&lt;K28*B28,0,F28-K28*B28),0)</f>
        <v>0.14003179849800815</v>
      </c>
      <c r="G29" s="21">
        <f aca="true" t="shared" si="26" ref="G29:G50">IF(F28=0,MAX(G28-K28*B28,0),G28)</f>
        <v>0.01029566547242718</v>
      </c>
      <c r="H29" s="15">
        <f aca="true" t="shared" si="27" ref="H29:H50">SUM($C$4:$C$5,F29:G29)</f>
        <v>0.24278833678100661</v>
      </c>
      <c r="I29" s="1">
        <f aca="true" t="shared" si="28" ref="I29:I50">IF(F29=0,MIN(SQRT(E29)*SQRT(2/($G$6*(E29/$M$4+1))),S29),SQRT(2*E29/$G$2))</f>
        <v>30.049209206572648</v>
      </c>
      <c r="J29" s="1">
        <f t="shared" si="1"/>
        <v>0.001816065686937745</v>
      </c>
      <c r="K29" s="1">
        <f t="shared" si="12"/>
        <v>1.816065686937745</v>
      </c>
      <c r="L29" s="2">
        <f t="shared" si="13"/>
        <v>2.3809402428934585</v>
      </c>
      <c r="M29" s="1">
        <f aca="true" t="shared" si="29" ref="M29:M50">IF(O28&gt;0,-1,1)*$C$9*$G$6*O28^2*$D$6/2</f>
        <v>-0.5927583635772715</v>
      </c>
      <c r="N29" s="1">
        <f aca="true" t="shared" si="30" ref="N29:N50">(IF(P28&lt;=$C$10,$D$11*E29,0)+K29*I29)/H29-(L29-M29)/H29</f>
        <v>212.5210783899407</v>
      </c>
      <c r="O29" s="1">
        <f aca="true" t="shared" si="31" ref="O29:O50">O28+N29*B29</f>
        <v>21.62683811934336</v>
      </c>
      <c r="P29" s="1">
        <f t="shared" si="17"/>
        <v>1.2649304662598104</v>
      </c>
      <c r="R29" s="9">
        <f aca="true" t="shared" si="32" ref="R29:R50">$H$11/(IF(F28&gt;0,D29,V28)^($M$7-1))-273.15</f>
        <v>-4.806192898817017</v>
      </c>
      <c r="S29" s="1">
        <f t="shared" si="3"/>
        <v>328.39252002910507</v>
      </c>
      <c r="T29" s="1">
        <f t="shared" si="19"/>
        <v>0.3554593042641028</v>
      </c>
      <c r="U29" s="1">
        <f aca="true" t="shared" si="33" ref="U29:U50">1/D29*T29*$M$3</f>
        <v>7.570519267330162</v>
      </c>
      <c r="V29" s="25">
        <f t="shared" si="2"/>
        <v>0.0013599682015019924</v>
      </c>
    </row>
    <row r="30" spans="1:22" ht="15">
      <c r="A30" s="1" t="str">
        <f t="shared" si="0"/>
        <v>разгон</v>
      </c>
      <c r="B30" s="1">
        <f t="shared" si="21"/>
        <v>0.01</v>
      </c>
      <c r="C30" s="3">
        <f t="shared" si="22"/>
        <v>0.12999999999999998</v>
      </c>
      <c r="D30" s="21">
        <f t="shared" si="23"/>
        <v>0.0013781288583713698</v>
      </c>
      <c r="E30" s="4">
        <f t="shared" si="24"/>
        <v>441305.85608216526</v>
      </c>
      <c r="F30" s="2">
        <f t="shared" si="25"/>
        <v>0.12187114162863069</v>
      </c>
      <c r="G30" s="21">
        <f t="shared" si="26"/>
        <v>0.01029566547242718</v>
      </c>
      <c r="H30" s="15">
        <f t="shared" si="27"/>
        <v>0.22462767991162916</v>
      </c>
      <c r="I30" s="1">
        <f t="shared" si="28"/>
        <v>29.70878173477214</v>
      </c>
      <c r="J30" s="1">
        <f t="shared" si="1"/>
        <v>0.0017954914799368949</v>
      </c>
      <c r="K30" s="1">
        <f t="shared" si="12"/>
        <v>1.7954914799368948</v>
      </c>
      <c r="L30" s="2">
        <f t="shared" si="13"/>
        <v>2.202845037205378</v>
      </c>
      <c r="M30" s="1">
        <f t="shared" si="29"/>
        <v>-0.7289907928898237</v>
      </c>
      <c r="N30" s="1">
        <f t="shared" si="30"/>
        <v>224.41592538294853</v>
      </c>
      <c r="O30" s="1">
        <f t="shared" si="31"/>
        <v>23.870997373172848</v>
      </c>
      <c r="P30" s="1">
        <f t="shared" si="17"/>
        <v>1.4924196437223916</v>
      </c>
      <c r="R30" s="9">
        <f t="shared" si="32"/>
        <v>-6.226292944141392</v>
      </c>
      <c r="S30" s="1">
        <f t="shared" si="3"/>
        <v>327.5224256757365</v>
      </c>
      <c r="T30" s="1">
        <f t="shared" si="19"/>
        <v>0.3554593042641028</v>
      </c>
      <c r="U30" s="1">
        <f t="shared" si="33"/>
        <v>7.4707567510009785</v>
      </c>
      <c r="V30" s="25">
        <f t="shared" si="2"/>
        <v>0.0013781288583713698</v>
      </c>
    </row>
    <row r="31" spans="1:22" ht="15">
      <c r="A31" s="1" t="str">
        <f t="shared" si="0"/>
        <v>разгон</v>
      </c>
      <c r="B31" s="1">
        <f t="shared" si="21"/>
        <v>0.01</v>
      </c>
      <c r="C31" s="3">
        <f t="shared" si="22"/>
        <v>0.13999999999999999</v>
      </c>
      <c r="D31" s="21">
        <f t="shared" si="23"/>
        <v>0.0013960837731707388</v>
      </c>
      <c r="E31" s="4">
        <f t="shared" si="24"/>
        <v>431560.8307790543</v>
      </c>
      <c r="F31" s="2">
        <f t="shared" si="25"/>
        <v>0.10391622682926174</v>
      </c>
      <c r="G31" s="21">
        <f t="shared" si="26"/>
        <v>0.01029566547242718</v>
      </c>
      <c r="H31" s="15">
        <f t="shared" si="27"/>
        <v>0.2066727651122602</v>
      </c>
      <c r="I31" s="1">
        <f t="shared" si="28"/>
        <v>29.378932273963066</v>
      </c>
      <c r="J31" s="1">
        <f t="shared" si="1"/>
        <v>0.0017755565697197154</v>
      </c>
      <c r="K31" s="1">
        <f t="shared" si="12"/>
        <v>1.7755565697197153</v>
      </c>
      <c r="L31" s="2">
        <f t="shared" si="13"/>
        <v>2.0267674719881463</v>
      </c>
      <c r="M31" s="1">
        <f t="shared" si="29"/>
        <v>-0.8881311737783211</v>
      </c>
      <c r="N31" s="1">
        <f t="shared" si="30"/>
        <v>238.29485969217183</v>
      </c>
      <c r="O31" s="1">
        <f t="shared" si="31"/>
        <v>26.253945970094566</v>
      </c>
      <c r="P31" s="1">
        <f t="shared" si="17"/>
        <v>1.7430443604387287</v>
      </c>
      <c r="R31" s="9">
        <f t="shared" si="32"/>
        <v>-7.604780840503906</v>
      </c>
      <c r="S31" s="1">
        <f t="shared" si="3"/>
        <v>326.6756104521149</v>
      </c>
      <c r="T31" s="1">
        <f t="shared" si="19"/>
        <v>0.3554593042641028</v>
      </c>
      <c r="U31" s="1">
        <f t="shared" si="33"/>
        <v>7.374675983120992</v>
      </c>
      <c r="V31" s="25">
        <f t="shared" si="2"/>
        <v>0.0013960837731707388</v>
      </c>
    </row>
    <row r="32" spans="1:22" ht="15">
      <c r="A32" s="1" t="str">
        <f t="shared" si="0"/>
        <v>разгон</v>
      </c>
      <c r="B32" s="1">
        <f t="shared" si="21"/>
        <v>0.01</v>
      </c>
      <c r="C32" s="3">
        <f t="shared" si="22"/>
        <v>0.15</v>
      </c>
      <c r="D32" s="21">
        <f t="shared" si="23"/>
        <v>0.001413839338867936</v>
      </c>
      <c r="E32" s="4">
        <f t="shared" si="24"/>
        <v>422215.34849095857</v>
      </c>
      <c r="F32" s="2">
        <f t="shared" si="25"/>
        <v>0.08616066113206458</v>
      </c>
      <c r="G32" s="21">
        <f t="shared" si="26"/>
        <v>0.01029566547242718</v>
      </c>
      <c r="H32" s="15">
        <f t="shared" si="27"/>
        <v>0.18891719941506305</v>
      </c>
      <c r="I32" s="1">
        <f t="shared" si="28"/>
        <v>29.059089747993088</v>
      </c>
      <c r="J32" s="1">
        <f t="shared" si="1"/>
        <v>0.001756226442505901</v>
      </c>
      <c r="K32" s="1">
        <f t="shared" si="12"/>
        <v>1.7562264425059009</v>
      </c>
      <c r="L32" s="2">
        <f t="shared" si="13"/>
        <v>1.8526448536437279</v>
      </c>
      <c r="M32" s="1">
        <f t="shared" si="29"/>
        <v>-1.0742989680371786</v>
      </c>
      <c r="N32" s="1">
        <f t="shared" si="30"/>
        <v>254.64805818554237</v>
      </c>
      <c r="O32" s="1">
        <f t="shared" si="31"/>
        <v>28.80042655194999</v>
      </c>
      <c r="P32" s="1">
        <f t="shared" si="17"/>
        <v>2.0183162230489513</v>
      </c>
      <c r="R32" s="9">
        <f t="shared" si="32"/>
        <v>-8.94377005033806</v>
      </c>
      <c r="S32" s="1">
        <f t="shared" si="3"/>
        <v>325.85095256399836</v>
      </c>
      <c r="T32" s="1">
        <f t="shared" si="19"/>
        <v>0.3554593042641028</v>
      </c>
      <c r="U32" s="1">
        <f t="shared" si="33"/>
        <v>7.282061822293713</v>
      </c>
      <c r="V32" s="25">
        <f t="shared" si="2"/>
        <v>0.001413839338867936</v>
      </c>
    </row>
    <row r="33" spans="1:22" ht="15">
      <c r="A33" s="1" t="str">
        <f t="shared" si="0"/>
        <v>разгон</v>
      </c>
      <c r="B33" s="1">
        <f t="shared" si="21"/>
        <v>0.01</v>
      </c>
      <c r="C33" s="3">
        <f t="shared" si="22"/>
        <v>0.16</v>
      </c>
      <c r="D33" s="21">
        <f t="shared" si="23"/>
        <v>0.0014314016032929949</v>
      </c>
      <c r="E33" s="4">
        <f t="shared" si="24"/>
        <v>413244.6230295246</v>
      </c>
      <c r="F33" s="2">
        <f t="shared" si="25"/>
        <v>0.06859839670700557</v>
      </c>
      <c r="G33" s="21">
        <f t="shared" si="26"/>
        <v>0.01029566547242718</v>
      </c>
      <c r="H33" s="15">
        <f t="shared" si="27"/>
        <v>0.17135493499000404</v>
      </c>
      <c r="I33" s="1">
        <f t="shared" si="28"/>
        <v>28.7487259901904</v>
      </c>
      <c r="J33" s="1">
        <f t="shared" si="1"/>
        <v>0.0017374691778091903</v>
      </c>
      <c r="K33" s="1">
        <f t="shared" si="12"/>
        <v>1.7374691778091902</v>
      </c>
      <c r="L33" s="2">
        <f t="shared" si="13"/>
        <v>1.680417873219723</v>
      </c>
      <c r="M33" s="1">
        <f t="shared" si="29"/>
        <v>-1.2928073847800914</v>
      </c>
      <c r="N33" s="1">
        <f t="shared" si="30"/>
        <v>274.1490932489245</v>
      </c>
      <c r="O33" s="1">
        <f t="shared" si="31"/>
        <v>31.541917484439235</v>
      </c>
      <c r="P33" s="1">
        <f t="shared" si="17"/>
        <v>2.3200279432308974</v>
      </c>
      <c r="R33" s="9">
        <f t="shared" si="32"/>
        <v>-10.245222102713967</v>
      </c>
      <c r="S33" s="1">
        <f t="shared" si="3"/>
        <v>325.04740806791744</v>
      </c>
      <c r="T33" s="1">
        <f t="shared" si="19"/>
        <v>0.3554593042641028</v>
      </c>
      <c r="U33" s="1">
        <f t="shared" si="33"/>
        <v>7.192716180240125</v>
      </c>
      <c r="V33" s="25">
        <f t="shared" si="2"/>
        <v>0.0014314016032929949</v>
      </c>
    </row>
    <row r="34" spans="1:22" ht="15">
      <c r="A34" s="1" t="str">
        <f t="shared" si="0"/>
        <v>разгон</v>
      </c>
      <c r="B34" s="1">
        <f t="shared" si="21"/>
        <v>0.01</v>
      </c>
      <c r="C34" s="3">
        <f t="shared" si="22"/>
        <v>0.17</v>
      </c>
      <c r="D34" s="21">
        <f t="shared" si="23"/>
        <v>0.0014487762950710868</v>
      </c>
      <c r="E34" s="4">
        <f t="shared" si="24"/>
        <v>404625.9080216524</v>
      </c>
      <c r="F34" s="2">
        <f t="shared" si="25"/>
        <v>0.05122370492891367</v>
      </c>
      <c r="G34" s="21">
        <f t="shared" si="26"/>
        <v>0.01029566547242718</v>
      </c>
      <c r="H34" s="15">
        <f t="shared" si="27"/>
        <v>0.15398024321191214</v>
      </c>
      <c r="I34" s="1">
        <f t="shared" si="28"/>
        <v>28.447351652540608</v>
      </c>
      <c r="J34" s="1">
        <f t="shared" si="1"/>
        <v>0.0017192552012027889</v>
      </c>
      <c r="K34" s="1">
        <f t="shared" si="12"/>
        <v>1.7192552012027889</v>
      </c>
      <c r="L34" s="2">
        <f t="shared" si="13"/>
        <v>1.510030352094098</v>
      </c>
      <c r="M34" s="1">
        <f t="shared" si="29"/>
        <v>-1.5506442276066863</v>
      </c>
      <c r="N34" s="1">
        <f t="shared" si="30"/>
        <v>297.74977460113246</v>
      </c>
      <c r="O34" s="1">
        <f t="shared" si="31"/>
        <v>34.51941523045056</v>
      </c>
      <c r="P34" s="1">
        <f t="shared" si="17"/>
        <v>2.6503346068053464</v>
      </c>
      <c r="R34" s="9">
        <f t="shared" si="32"/>
        <v>-11.510960586709245</v>
      </c>
      <c r="S34" s="1">
        <f t="shared" si="3"/>
        <v>324.2640038875142</v>
      </c>
      <c r="T34" s="1">
        <f t="shared" si="19"/>
        <v>0.3554593042641028</v>
      </c>
      <c r="U34" s="1">
        <f t="shared" si="33"/>
        <v>7.1064563296999586</v>
      </c>
      <c r="V34" s="25">
        <f t="shared" si="2"/>
        <v>0.0014487762950710868</v>
      </c>
    </row>
    <row r="35" spans="1:22" ht="15">
      <c r="A35" s="1" t="str">
        <f t="shared" si="0"/>
        <v>разгон</v>
      </c>
      <c r="B35" s="1">
        <f t="shared" si="21"/>
        <v>0.01</v>
      </c>
      <c r="C35" s="3">
        <f t="shared" si="22"/>
        <v>0.18000000000000002</v>
      </c>
      <c r="D35" s="21">
        <f t="shared" si="23"/>
        <v>0.0014659688470831148</v>
      </c>
      <c r="E35" s="4">
        <f t="shared" si="24"/>
        <v>396338.2894192791</v>
      </c>
      <c r="F35" s="2">
        <f t="shared" si="25"/>
        <v>0.034031152916885785</v>
      </c>
      <c r="G35" s="21">
        <f t="shared" si="26"/>
        <v>0.01029566547242718</v>
      </c>
      <c r="H35" s="15">
        <f t="shared" si="27"/>
        <v>0.13678769119988424</v>
      </c>
      <c r="I35" s="1">
        <f t="shared" si="28"/>
        <v>28.154512583927964</v>
      </c>
      <c r="J35" s="1">
        <f t="shared" si="1"/>
        <v>0.0017015570654333489</v>
      </c>
      <c r="K35" s="1">
        <f t="shared" si="12"/>
        <v>1.701557065433349</v>
      </c>
      <c r="L35" s="2">
        <f t="shared" si="13"/>
        <v>1.3414290119053447</v>
      </c>
      <c r="M35" s="1">
        <f t="shared" si="29"/>
        <v>-1.8572178296034998</v>
      </c>
      <c r="N35" s="1">
        <f t="shared" si="30"/>
        <v>326.8412718815138</v>
      </c>
      <c r="O35" s="1">
        <f t="shared" si="31"/>
        <v>37.7878279492657</v>
      </c>
      <c r="P35" s="1">
        <f t="shared" si="17"/>
        <v>3.0118708227039277</v>
      </c>
      <c r="R35" s="9">
        <f t="shared" si="32"/>
        <v>-12.742683584707322</v>
      </c>
      <c r="S35" s="1">
        <f t="shared" si="3"/>
        <v>323.4998315923506</v>
      </c>
      <c r="T35" s="1">
        <f t="shared" si="19"/>
        <v>0.3554593042641028</v>
      </c>
      <c r="U35" s="1">
        <f t="shared" si="33"/>
        <v>7.02311341261637</v>
      </c>
      <c r="V35" s="25">
        <f t="shared" si="2"/>
        <v>0.0014659688470831148</v>
      </c>
    </row>
    <row r="36" spans="1:22" ht="15">
      <c r="A36" s="1" t="str">
        <f t="shared" si="0"/>
        <v>разгон</v>
      </c>
      <c r="B36" s="1">
        <f t="shared" si="21"/>
        <v>0.01</v>
      </c>
      <c r="C36" s="3">
        <f t="shared" si="22"/>
        <v>0.19000000000000003</v>
      </c>
      <c r="D36" s="21">
        <f t="shared" si="23"/>
        <v>0.0014829844177374483</v>
      </c>
      <c r="E36" s="4">
        <f t="shared" si="24"/>
        <v>388362.5029819825</v>
      </c>
      <c r="F36" s="2">
        <f t="shared" si="25"/>
        <v>0.017015582262552294</v>
      </c>
      <c r="G36" s="21">
        <f t="shared" si="26"/>
        <v>0.01029566547242718</v>
      </c>
      <c r="H36" s="15">
        <f t="shared" si="27"/>
        <v>0.11977212054555074</v>
      </c>
      <c r="I36" s="1">
        <f t="shared" si="28"/>
        <v>27.86978661497007</v>
      </c>
      <c r="J36" s="1">
        <f t="shared" si="1"/>
        <v>0.0016843492561079895</v>
      </c>
      <c r="K36" s="1">
        <f t="shared" si="12"/>
        <v>1.6843492561079896</v>
      </c>
      <c r="L36" s="2">
        <f t="shared" si="13"/>
        <v>1.1745632659480252</v>
      </c>
      <c r="M36" s="1">
        <f t="shared" si="29"/>
        <v>-2.2255627455027533</v>
      </c>
      <c r="N36" s="1">
        <f t="shared" si="30"/>
        <v>363.5431028776251</v>
      </c>
      <c r="O36" s="1">
        <f t="shared" si="31"/>
        <v>41.42325897804195</v>
      </c>
      <c r="P36" s="1">
        <f t="shared" si="17"/>
        <v>3.407926257340466</v>
      </c>
      <c r="R36" s="9">
        <f t="shared" si="32"/>
        <v>-13.941974748561336</v>
      </c>
      <c r="S36" s="1">
        <f t="shared" si="3"/>
        <v>322.7540418416986</v>
      </c>
      <c r="T36" s="1">
        <f t="shared" si="19"/>
        <v>0.3554593042641028</v>
      </c>
      <c r="U36" s="1">
        <f t="shared" si="33"/>
        <v>6.942531121220421</v>
      </c>
      <c r="V36" s="25">
        <f t="shared" si="2"/>
        <v>0.0014829844177374483</v>
      </c>
    </row>
    <row r="37" spans="1:22" ht="15">
      <c r="A37" s="1" t="str">
        <f t="shared" si="0"/>
        <v>выхлоп</v>
      </c>
      <c r="B37" s="1">
        <f t="shared" si="21"/>
        <v>0.001</v>
      </c>
      <c r="C37" s="3">
        <f t="shared" si="22"/>
        <v>0.19100000000000003</v>
      </c>
      <c r="D37" s="21">
        <f t="shared" si="23"/>
        <v>0.0015</v>
      </c>
      <c r="E37" s="4">
        <f t="shared" si="24"/>
        <v>380603.35670868773</v>
      </c>
      <c r="F37" s="2">
        <f t="shared" si="25"/>
        <v>0</v>
      </c>
      <c r="G37" s="21">
        <f t="shared" si="26"/>
        <v>0.01029566547242718</v>
      </c>
      <c r="H37" s="15">
        <f t="shared" si="27"/>
        <v>0.10275653828299845</v>
      </c>
      <c r="I37" s="1">
        <f t="shared" si="28"/>
        <v>322.01845009351683</v>
      </c>
      <c r="J37" s="1">
        <f t="shared" si="1"/>
        <v>0.017187694130610158</v>
      </c>
      <c r="K37" s="1">
        <f t="shared" si="12"/>
        <v>0.11662071585111297</v>
      </c>
      <c r="L37" s="2">
        <f t="shared" si="13"/>
        <v>1.0076974061529667</v>
      </c>
      <c r="M37" s="1">
        <f t="shared" si="29"/>
        <v>-2.674388600209043</v>
      </c>
      <c r="N37" s="1">
        <f t="shared" si="30"/>
        <v>329.63290440481967</v>
      </c>
      <c r="O37" s="1">
        <f t="shared" si="31"/>
        <v>41.75289188244677</v>
      </c>
      <c r="P37" s="1">
        <f t="shared" si="17"/>
        <v>3.4495143327707103</v>
      </c>
      <c r="R37" s="9">
        <f t="shared" si="32"/>
        <v>-15.122155191842467</v>
      </c>
      <c r="S37" s="1">
        <f t="shared" si="3"/>
        <v>322.01845009351683</v>
      </c>
      <c r="T37" s="1">
        <f t="shared" si="19"/>
        <v>0.3513862870657222</v>
      </c>
      <c r="U37" s="1">
        <f t="shared" si="33"/>
        <v>6.78512864872427</v>
      </c>
      <c r="V37" s="23">
        <f>IF(F37&gt;0,D37,V36^2/(V36-J37*B37))</f>
        <v>0.0015003736519757485</v>
      </c>
    </row>
    <row r="38" spans="1:22" ht="15">
      <c r="A38" s="1" t="str">
        <f t="shared" si="0"/>
        <v>выхлоп</v>
      </c>
      <c r="B38" s="1">
        <f t="shared" si="21"/>
        <v>0.001</v>
      </c>
      <c r="C38" s="3">
        <f t="shared" si="22"/>
        <v>0.19200000000000003</v>
      </c>
      <c r="D38" s="21">
        <f t="shared" si="23"/>
        <v>0.0015</v>
      </c>
      <c r="E38" s="4">
        <f t="shared" si="24"/>
        <v>380435.338350025</v>
      </c>
      <c r="F38" s="2">
        <f t="shared" si="25"/>
        <v>0</v>
      </c>
      <c r="G38" s="21">
        <f t="shared" si="26"/>
        <v>0.010179044756576067</v>
      </c>
      <c r="H38" s="15">
        <f t="shared" si="27"/>
        <v>0.10263991756714734</v>
      </c>
      <c r="I38" s="1">
        <f t="shared" si="28"/>
        <v>322.0024094468709</v>
      </c>
      <c r="J38" s="1">
        <f t="shared" si="1"/>
        <v>0.017186837963119983</v>
      </c>
      <c r="K38" s="1">
        <f t="shared" si="12"/>
        <v>0.11527874564149114</v>
      </c>
      <c r="L38" s="2">
        <f t="shared" si="13"/>
        <v>1.0065537476098654</v>
      </c>
      <c r="M38" s="1">
        <f t="shared" si="29"/>
        <v>-2.7171217947559057</v>
      </c>
      <c r="N38" s="1">
        <f t="shared" si="30"/>
        <v>325.3739783097482</v>
      </c>
      <c r="O38" s="1">
        <f t="shared" si="31"/>
        <v>42.07826586075652</v>
      </c>
      <c r="P38" s="1">
        <f t="shared" si="17"/>
        <v>3.491429911642312</v>
      </c>
      <c r="R38" s="9">
        <f t="shared" si="32"/>
        <v>-15.147860740056842</v>
      </c>
      <c r="S38" s="1">
        <f t="shared" si="3"/>
        <v>322.0024094468709</v>
      </c>
      <c r="T38" s="1">
        <f t="shared" si="19"/>
        <v>0.3473601409468816</v>
      </c>
      <c r="U38" s="1">
        <f t="shared" si="33"/>
        <v>6.707385377627905</v>
      </c>
      <c r="V38" s="25">
        <f aca="true" t="shared" si="34" ref="V38:V50">IF(F38&gt;0,D38,V37^2/(V37-J38*B38))</f>
        <v>0.0015177596471835121</v>
      </c>
    </row>
    <row r="39" spans="1:22" ht="15">
      <c r="A39" s="1" t="str">
        <f t="shared" si="0"/>
        <v>выхлоп</v>
      </c>
      <c r="B39" s="1">
        <f t="shared" si="21"/>
        <v>0.001</v>
      </c>
      <c r="C39" s="3">
        <f t="shared" si="22"/>
        <v>0.19300000000000003</v>
      </c>
      <c r="D39" s="21">
        <f t="shared" si="23"/>
        <v>0.0015</v>
      </c>
      <c r="E39" s="4">
        <f t="shared" si="24"/>
        <v>372727.06293206743</v>
      </c>
      <c r="F39" s="2">
        <f t="shared" si="25"/>
        <v>0</v>
      </c>
      <c r="G39" s="21">
        <f t="shared" si="26"/>
        <v>0.010063766010934576</v>
      </c>
      <c r="H39" s="15">
        <f t="shared" si="27"/>
        <v>0.10252463882150585</v>
      </c>
      <c r="I39" s="1">
        <f t="shared" si="28"/>
        <v>321.2612958280587</v>
      </c>
      <c r="J39" s="1">
        <f t="shared" si="1"/>
        <v>0.01714728111725455</v>
      </c>
      <c r="K39" s="1">
        <f t="shared" si="12"/>
        <v>0.1136986443051965</v>
      </c>
      <c r="L39" s="2">
        <f t="shared" si="13"/>
        <v>1.0054232492989204</v>
      </c>
      <c r="M39" s="1">
        <f t="shared" si="29"/>
        <v>-2.759635040745304</v>
      </c>
      <c r="N39" s="1">
        <f t="shared" si="30"/>
        <v>319.55163061217723</v>
      </c>
      <c r="O39" s="1">
        <f t="shared" si="31"/>
        <v>42.39781749136869</v>
      </c>
      <c r="P39" s="1">
        <f t="shared" si="17"/>
        <v>3.533667953318375</v>
      </c>
      <c r="R39" s="9">
        <f t="shared" si="32"/>
        <v>-16.33411806236211</v>
      </c>
      <c r="S39" s="1">
        <f t="shared" si="3"/>
        <v>321.2612958280587</v>
      </c>
      <c r="T39" s="1">
        <f t="shared" si="19"/>
        <v>0.34338928628971804</v>
      </c>
      <c r="U39" s="1">
        <f t="shared" si="33"/>
        <v>6.630709762539939</v>
      </c>
      <c r="V39" s="25">
        <f t="shared" si="34"/>
        <v>0.0015351028678094387</v>
      </c>
    </row>
    <row r="40" spans="1:22" ht="15">
      <c r="A40" s="1" t="str">
        <f t="shared" si="0"/>
        <v>выхлоп</v>
      </c>
      <c r="B40" s="1">
        <f t="shared" si="21"/>
        <v>0.001</v>
      </c>
      <c r="C40" s="3">
        <f t="shared" si="22"/>
        <v>0.19400000000000003</v>
      </c>
      <c r="D40" s="21">
        <f t="shared" si="23"/>
        <v>0.0015</v>
      </c>
      <c r="E40" s="4">
        <f t="shared" si="24"/>
        <v>365246.02789441444</v>
      </c>
      <c r="F40" s="2">
        <f t="shared" si="25"/>
        <v>0</v>
      </c>
      <c r="G40" s="21">
        <f t="shared" si="26"/>
        <v>0.00995006736662938</v>
      </c>
      <c r="H40" s="15">
        <f t="shared" si="27"/>
        <v>0.10241094017720065</v>
      </c>
      <c r="I40" s="1">
        <f t="shared" si="28"/>
        <v>320.5320864957476</v>
      </c>
      <c r="J40" s="1">
        <f t="shared" si="1"/>
        <v>0.017108359661178636</v>
      </c>
      <c r="K40" s="1">
        <f t="shared" si="12"/>
        <v>0.11214671274128875</v>
      </c>
      <c r="L40" s="2">
        <f t="shared" si="13"/>
        <v>1.0043082464887447</v>
      </c>
      <c r="M40" s="1">
        <f t="shared" si="29"/>
        <v>-2.8017087491118873</v>
      </c>
      <c r="N40" s="1">
        <f t="shared" si="30"/>
        <v>313.83954465598424</v>
      </c>
      <c r="O40" s="1">
        <f t="shared" si="31"/>
        <v>42.711657036024675</v>
      </c>
      <c r="P40" s="1">
        <f t="shared" si="17"/>
        <v>3.5762226905820715</v>
      </c>
      <c r="R40" s="9">
        <f t="shared" si="32"/>
        <v>-17.49865298503653</v>
      </c>
      <c r="S40" s="1">
        <f t="shared" si="3"/>
        <v>320.5320864957476</v>
      </c>
      <c r="T40" s="1">
        <f t="shared" si="19"/>
        <v>0.3394727346806248</v>
      </c>
      <c r="U40" s="1">
        <f t="shared" si="33"/>
        <v>6.555082717588992</v>
      </c>
      <c r="V40" s="25">
        <f t="shared" si="34"/>
        <v>0.001552404045012924</v>
      </c>
    </row>
    <row r="41" spans="1:22" ht="15">
      <c r="A41" s="1" t="str">
        <f t="shared" si="0"/>
        <v>выхлоп</v>
      </c>
      <c r="B41" s="1">
        <f t="shared" si="21"/>
        <v>0.001</v>
      </c>
      <c r="C41" s="3">
        <f t="shared" si="22"/>
        <v>0.19500000000000003</v>
      </c>
      <c r="D41" s="21">
        <f t="shared" si="23"/>
        <v>0.0015</v>
      </c>
      <c r="E41" s="4">
        <f t="shared" si="24"/>
        <v>357982.5366531604</v>
      </c>
      <c r="F41" s="2">
        <f t="shared" si="25"/>
        <v>0</v>
      </c>
      <c r="G41" s="21">
        <f t="shared" si="26"/>
        <v>0.009837920653888091</v>
      </c>
      <c r="H41" s="15">
        <f t="shared" si="27"/>
        <v>0.10229879346445937</v>
      </c>
      <c r="I41" s="1">
        <f t="shared" si="28"/>
        <v>319.81442916414164</v>
      </c>
      <c r="J41" s="1">
        <f t="shared" si="1"/>
        <v>0.017070054791682335</v>
      </c>
      <c r="K41" s="1">
        <f t="shared" si="12"/>
        <v>0.11062224489723047</v>
      </c>
      <c r="L41" s="2">
        <f t="shared" si="13"/>
        <v>1.0032084629282405</v>
      </c>
      <c r="M41" s="1">
        <f t="shared" si="29"/>
        <v>-2.843340201130029</v>
      </c>
      <c r="N41" s="1">
        <f t="shared" si="30"/>
        <v>308.23473447475436</v>
      </c>
      <c r="O41" s="1">
        <f t="shared" si="31"/>
        <v>43.01989177049943</v>
      </c>
      <c r="P41" s="1">
        <f t="shared" si="17"/>
        <v>3.6190884649853334</v>
      </c>
      <c r="R41" s="9">
        <f t="shared" si="32"/>
        <v>-18.64215580746719</v>
      </c>
      <c r="S41" s="1">
        <f t="shared" si="3"/>
        <v>319.81442916414164</v>
      </c>
      <c r="T41" s="1">
        <f t="shared" si="19"/>
        <v>0.3356095225597711</v>
      </c>
      <c r="U41" s="1">
        <f t="shared" si="33"/>
        <v>6.480485636820156</v>
      </c>
      <c r="V41" s="25">
        <f t="shared" si="34"/>
        <v>0.0015696638870251376</v>
      </c>
    </row>
    <row r="42" spans="1:22" ht="15">
      <c r="A42" s="1" t="str">
        <f t="shared" si="0"/>
        <v>выхлоп</v>
      </c>
      <c r="B42" s="1">
        <f t="shared" si="21"/>
        <v>0.001</v>
      </c>
      <c r="C42" s="3">
        <f t="shared" si="22"/>
        <v>0.19600000000000004</v>
      </c>
      <c r="D42" s="21">
        <f t="shared" si="23"/>
        <v>0.0015</v>
      </c>
      <c r="E42" s="4">
        <f t="shared" si="24"/>
        <v>350927.43134970433</v>
      </c>
      <c r="F42" s="2">
        <f t="shared" si="25"/>
        <v>0</v>
      </c>
      <c r="G42" s="21">
        <f t="shared" si="26"/>
        <v>0.00972729840899086</v>
      </c>
      <c r="H42" s="15">
        <f t="shared" si="27"/>
        <v>0.10218817121956214</v>
      </c>
      <c r="I42" s="1">
        <f t="shared" si="28"/>
        <v>319.1079866364529</v>
      </c>
      <c r="J42" s="1">
        <f t="shared" si="1"/>
        <v>0.017032348510929655</v>
      </c>
      <c r="K42" s="1">
        <f t="shared" si="12"/>
        <v>0.10912456009409742</v>
      </c>
      <c r="L42" s="2">
        <f t="shared" si="13"/>
        <v>1.002123629290319</v>
      </c>
      <c r="M42" s="1">
        <f t="shared" si="29"/>
        <v>-2.8845270182165357</v>
      </c>
      <c r="N42" s="1">
        <f t="shared" si="30"/>
        <v>302.73433458594917</v>
      </c>
      <c r="O42" s="1">
        <f t="shared" si="31"/>
        <v>43.32262610508538</v>
      </c>
      <c r="P42" s="1">
        <f t="shared" si="17"/>
        <v>3.662259723923126</v>
      </c>
      <c r="R42" s="9">
        <f t="shared" si="32"/>
        <v>-19.765285800200616</v>
      </c>
      <c r="S42" s="1">
        <f t="shared" si="3"/>
        <v>319.1079866364529</v>
      </c>
      <c r="T42" s="1">
        <f t="shared" si="19"/>
        <v>0.3317987103252213</v>
      </c>
      <c r="U42" s="1">
        <f t="shared" si="33"/>
        <v>6.406900376895893</v>
      </c>
      <c r="V42" s="25">
        <f t="shared" si="34"/>
        <v>0.0015868830801856841</v>
      </c>
    </row>
    <row r="43" spans="1:22" ht="15">
      <c r="A43" s="1" t="str">
        <f t="shared" si="0"/>
        <v>выхлоп</v>
      </c>
      <c r="B43" s="1">
        <f t="shared" si="21"/>
        <v>0.001</v>
      </c>
      <c r="C43" s="3">
        <f t="shared" si="22"/>
        <v>0.19700000000000004</v>
      </c>
      <c r="D43" s="21">
        <f t="shared" si="23"/>
        <v>0.0015</v>
      </c>
      <c r="E43" s="4">
        <f t="shared" si="24"/>
        <v>344072.05614212254</v>
      </c>
      <c r="F43" s="2">
        <f t="shared" si="25"/>
        <v>0</v>
      </c>
      <c r="G43" s="21">
        <f t="shared" si="26"/>
        <v>0.009618173848896763</v>
      </c>
      <c r="H43" s="15">
        <f t="shared" si="27"/>
        <v>0.10207904665946804</v>
      </c>
      <c r="I43" s="1">
        <f t="shared" si="28"/>
        <v>318.41243596348744</v>
      </c>
      <c r="J43" s="1">
        <f t="shared" si="1"/>
        <v>0.01699522358154813</v>
      </c>
      <c r="K43" s="1">
        <f t="shared" si="12"/>
        <v>0.1076530017794994</v>
      </c>
      <c r="L43" s="2">
        <f t="shared" si="13"/>
        <v>1.0010534829230722</v>
      </c>
      <c r="M43" s="1">
        <f t="shared" si="29"/>
        <v>-2.9252671446686627</v>
      </c>
      <c r="N43" s="1">
        <f t="shared" si="30"/>
        <v>297.3355933569069</v>
      </c>
      <c r="O43" s="1">
        <f t="shared" si="31"/>
        <v>43.61996169844228</v>
      </c>
      <c r="P43" s="1">
        <f t="shared" si="17"/>
        <v>3.7057310178248897</v>
      </c>
      <c r="R43" s="9">
        <f t="shared" si="32"/>
        <v>-20.868672998868846</v>
      </c>
      <c r="S43" s="1">
        <f t="shared" si="3"/>
        <v>318.41243596348744</v>
      </c>
      <c r="T43" s="1">
        <f t="shared" si="19"/>
        <v>0.32803938148119033</v>
      </c>
      <c r="U43" s="1">
        <f t="shared" si="33"/>
        <v>6.334309240649193</v>
      </c>
      <c r="V43" s="25">
        <f t="shared" si="34"/>
        <v>0.0016040622899184543</v>
      </c>
    </row>
    <row r="44" spans="1:22" ht="15">
      <c r="A44" s="1" t="str">
        <f t="shared" si="0"/>
        <v>выхлоп</v>
      </c>
      <c r="B44" s="1">
        <f t="shared" si="21"/>
        <v>0.001</v>
      </c>
      <c r="C44" s="3">
        <f t="shared" si="22"/>
        <v>0.19800000000000004</v>
      </c>
      <c r="D44" s="21">
        <f t="shared" si="23"/>
        <v>0.0015</v>
      </c>
      <c r="E44" s="4">
        <f t="shared" si="24"/>
        <v>337408.2234486176</v>
      </c>
      <c r="F44" s="2">
        <f t="shared" si="25"/>
        <v>0</v>
      </c>
      <c r="G44" s="21">
        <f t="shared" si="26"/>
        <v>0.009510520847117263</v>
      </c>
      <c r="H44" s="15">
        <f t="shared" si="27"/>
        <v>0.10197139365768854</v>
      </c>
      <c r="I44" s="1">
        <f t="shared" si="28"/>
        <v>317.72746765977246</v>
      </c>
      <c r="J44" s="1">
        <f t="shared" si="1"/>
        <v>0.016958663484789707</v>
      </c>
      <c r="K44" s="1">
        <f t="shared" si="12"/>
        <v>0.10620693635887017</v>
      </c>
      <c r="L44" s="2">
        <f t="shared" si="13"/>
        <v>0.9999977676131713</v>
      </c>
      <c r="M44" s="1">
        <f t="shared" si="29"/>
        <v>-2.965558831301679</v>
      </c>
      <c r="N44" s="1">
        <f t="shared" si="30"/>
        <v>292.03586682612973</v>
      </c>
      <c r="O44" s="1">
        <f t="shared" si="31"/>
        <v>43.911997565268415</v>
      </c>
      <c r="P44" s="1">
        <f t="shared" si="17"/>
        <v>3.749496997456745</v>
      </c>
      <c r="R44" s="9">
        <f t="shared" si="32"/>
        <v>-21.952919871872524</v>
      </c>
      <c r="S44" s="1">
        <f t="shared" si="3"/>
        <v>317.72746765977246</v>
      </c>
      <c r="T44" s="1">
        <f t="shared" si="19"/>
        <v>0.3243306418276583</v>
      </c>
      <c r="U44" s="1">
        <f t="shared" si="33"/>
        <v>6.262694961435351</v>
      </c>
      <c r="V44" s="25">
        <f t="shared" si="34"/>
        <v>0.0016212021616510235</v>
      </c>
    </row>
    <row r="45" spans="1:22" ht="15">
      <c r="A45" s="1" t="str">
        <f t="shared" si="0"/>
        <v>выхлоп</v>
      </c>
      <c r="B45" s="1">
        <f t="shared" si="21"/>
        <v>0.001</v>
      </c>
      <c r="C45" s="3">
        <f t="shared" si="22"/>
        <v>0.19900000000000004</v>
      </c>
      <c r="D45" s="21">
        <f t="shared" si="23"/>
        <v>0.0015</v>
      </c>
      <c r="E45" s="4">
        <f t="shared" si="24"/>
        <v>330928.1828702554</v>
      </c>
      <c r="F45" s="2">
        <f t="shared" si="25"/>
        <v>0</v>
      </c>
      <c r="G45" s="21">
        <f t="shared" si="26"/>
        <v>0.009404313910758393</v>
      </c>
      <c r="H45" s="15">
        <f t="shared" si="27"/>
        <v>0.10186518672132967</v>
      </c>
      <c r="I45" s="1">
        <f t="shared" si="28"/>
        <v>317.05278497258087</v>
      </c>
      <c r="J45" s="1">
        <f t="shared" si="1"/>
        <v>0.016922652381515035</v>
      </c>
      <c r="K45" s="1">
        <f t="shared" si="12"/>
        <v>0.10478575209916069</v>
      </c>
      <c r="L45" s="2">
        <f t="shared" si="13"/>
        <v>0.9989562333607276</v>
      </c>
      <c r="M45" s="1">
        <f t="shared" si="29"/>
        <v>-3.0054006199302417</v>
      </c>
      <c r="N45" s="1">
        <f t="shared" si="30"/>
        <v>286.8326129428902</v>
      </c>
      <c r="O45" s="1">
        <f t="shared" si="31"/>
        <v>44.1988301782113</v>
      </c>
      <c r="P45" s="1">
        <f t="shared" si="17"/>
        <v>3.7935524113284846</v>
      </c>
      <c r="R45" s="9">
        <f t="shared" si="32"/>
        <v>-23.01860287225233</v>
      </c>
      <c r="S45" s="1">
        <f t="shared" si="3"/>
        <v>317.05278497258087</v>
      </c>
      <c r="T45" s="1">
        <f t="shared" si="19"/>
        <v>0.32067161868877625</v>
      </c>
      <c r="U45" s="1">
        <f t="shared" si="33"/>
        <v>6.192040688232794</v>
      </c>
      <c r="V45" s="25">
        <f t="shared" si="34"/>
        <v>0.0016383033216815926</v>
      </c>
    </row>
    <row r="46" spans="1:22" ht="15">
      <c r="A46" s="1" t="str">
        <f t="shared" si="0"/>
        <v>выхлоп</v>
      </c>
      <c r="B46" s="1">
        <f t="shared" si="21"/>
        <v>0.001</v>
      </c>
      <c r="C46" s="3">
        <f t="shared" si="22"/>
        <v>0.20000000000000004</v>
      </c>
      <c r="D46" s="21">
        <f t="shared" si="23"/>
        <v>0.0015</v>
      </c>
      <c r="E46" s="4">
        <f t="shared" si="24"/>
        <v>324624.59254861996</v>
      </c>
      <c r="F46" s="2">
        <f t="shared" si="25"/>
        <v>0</v>
      </c>
      <c r="G46" s="21">
        <f t="shared" si="26"/>
        <v>0.009299528158659233</v>
      </c>
      <c r="H46" s="15">
        <f t="shared" si="27"/>
        <v>0.1017604009692305</v>
      </c>
      <c r="I46" s="1">
        <f t="shared" si="28"/>
        <v>316.3881031996399</v>
      </c>
      <c r="J46" s="1">
        <f t="shared" si="1"/>
        <v>0.016887175075776237</v>
      </c>
      <c r="K46" s="1">
        <f t="shared" si="12"/>
        <v>0.10338885809949958</v>
      </c>
      <c r="L46" s="2">
        <f t="shared" si="13"/>
        <v>0.9979286361649042</v>
      </c>
      <c r="M46" s="1">
        <f t="shared" si="29"/>
        <v>-3.0447913286420083</v>
      </c>
      <c r="N46" s="1">
        <f t="shared" si="30"/>
        <v>281.72338619163827</v>
      </c>
      <c r="O46" s="1">
        <f t="shared" si="31"/>
        <v>44.48055356440294</v>
      </c>
      <c r="P46" s="1">
        <f t="shared" si="17"/>
        <v>3.837892103199792</v>
      </c>
      <c r="R46" s="9">
        <f t="shared" si="32"/>
        <v>-24.066273883192224</v>
      </c>
      <c r="S46" s="1">
        <f t="shared" si="3"/>
        <v>316.3881031996399</v>
      </c>
      <c r="T46" s="1">
        <f t="shared" si="19"/>
        <v>0.31706146017768966</v>
      </c>
      <c r="U46" s="1">
        <f t="shared" si="33"/>
        <v>6.122329971447116</v>
      </c>
      <c r="V46" s="25">
        <f t="shared" si="34"/>
        <v>0.001655366377997134</v>
      </c>
    </row>
    <row r="47" spans="1:22" ht="15">
      <c r="A47" s="1" t="str">
        <f t="shared" si="0"/>
        <v>выхлоп</v>
      </c>
      <c r="B47" s="1">
        <f t="shared" si="21"/>
        <v>0.001</v>
      </c>
      <c r="C47" s="3">
        <f t="shared" si="22"/>
        <v>0.20100000000000004</v>
      </c>
      <c r="D47" s="21">
        <f t="shared" si="23"/>
        <v>0.0015</v>
      </c>
      <c r="E47" s="4">
        <f t="shared" si="24"/>
        <v>318490.49273911177</v>
      </c>
      <c r="F47" s="2">
        <f t="shared" si="25"/>
        <v>0</v>
      </c>
      <c r="G47" s="21">
        <f t="shared" si="26"/>
        <v>0.009196139300559734</v>
      </c>
      <c r="H47" s="15">
        <f t="shared" si="27"/>
        <v>0.10165701211113101</v>
      </c>
      <c r="I47" s="1">
        <f t="shared" si="28"/>
        <v>315.73314905169616</v>
      </c>
      <c r="J47" s="1">
        <f t="shared" si="1"/>
        <v>0.01685221698079391</v>
      </c>
      <c r="K47" s="1">
        <f t="shared" si="12"/>
        <v>0.1020156833238621</v>
      </c>
      <c r="L47" s="2">
        <f t="shared" si="13"/>
        <v>0.9969147378196229</v>
      </c>
      <c r="M47" s="1">
        <f t="shared" si="29"/>
        <v>-3.0837300378157466</v>
      </c>
      <c r="N47" s="1">
        <f t="shared" si="30"/>
        <v>276.7058325707785</v>
      </c>
      <c r="O47" s="1">
        <f t="shared" si="31"/>
        <v>44.757259396973716</v>
      </c>
      <c r="P47" s="1">
        <f t="shared" si="17"/>
        <v>3.88251100968048</v>
      </c>
      <c r="R47" s="9">
        <f t="shared" si="32"/>
        <v>-25.09646156571904</v>
      </c>
      <c r="S47" s="1">
        <f t="shared" si="3"/>
        <v>315.73314905169616</v>
      </c>
      <c r="T47" s="1">
        <f t="shared" si="19"/>
        <v>0.3134993344955818</v>
      </c>
      <c r="U47" s="1">
        <f t="shared" si="33"/>
        <v>6.0535467493758865</v>
      </c>
      <c r="V47" s="25">
        <f>IF(F47&gt;0,D47,V46^2/(V46-J47*B47))</f>
        <v>0.0016723919210460967</v>
      </c>
    </row>
    <row r="48" spans="1:22" ht="15">
      <c r="A48" s="1" t="str">
        <f t="shared" si="0"/>
        <v>выхлоп</v>
      </c>
      <c r="B48" s="1">
        <f t="shared" si="21"/>
        <v>0.001</v>
      </c>
      <c r="C48" s="3">
        <f t="shared" si="22"/>
        <v>0.20200000000000004</v>
      </c>
      <c r="D48" s="21">
        <f t="shared" si="23"/>
        <v>0.0015</v>
      </c>
      <c r="E48" s="4">
        <f t="shared" si="24"/>
        <v>312519.2814028709</v>
      </c>
      <c r="F48" s="2">
        <f t="shared" si="25"/>
        <v>0</v>
      </c>
      <c r="G48" s="21">
        <f t="shared" si="26"/>
        <v>0.009094123617235873</v>
      </c>
      <c r="H48" s="15">
        <f t="shared" si="27"/>
        <v>0.10155499642780715</v>
      </c>
      <c r="I48" s="1">
        <f t="shared" si="28"/>
        <v>315.08766005645634</v>
      </c>
      <c r="J48" s="1">
        <f t="shared" si="1"/>
        <v>0.01681776408714252</v>
      </c>
      <c r="K48" s="1">
        <f t="shared" si="12"/>
        <v>0.10066567569121719</v>
      </c>
      <c r="L48" s="2">
        <f t="shared" si="13"/>
        <v>0.9959143057187548</v>
      </c>
      <c r="M48" s="1">
        <f t="shared" si="29"/>
        <v>-3.1222160768396208</v>
      </c>
      <c r="N48" s="1">
        <f t="shared" si="30"/>
        <v>271.77768489815026</v>
      </c>
      <c r="O48" s="1">
        <f t="shared" si="31"/>
        <v>45.02903708187186</v>
      </c>
      <c r="P48" s="1">
        <f t="shared" si="17"/>
        <v>3.9274041579199026</v>
      </c>
      <c r="R48" s="9">
        <f t="shared" si="32"/>
        <v>-26.109672616368982</v>
      </c>
      <c r="S48" s="1">
        <f t="shared" si="3"/>
        <v>315.08766005645634</v>
      </c>
      <c r="T48" s="1">
        <f t="shared" si="19"/>
        <v>0.3099844292628999</v>
      </c>
      <c r="U48" s="1">
        <f t="shared" si="33"/>
        <v>5.985675335294891</v>
      </c>
      <c r="V48" s="25">
        <f t="shared" si="34"/>
        <v>0.0016893805244687663</v>
      </c>
    </row>
    <row r="49" spans="1:22" ht="15">
      <c r="A49" s="1" t="str">
        <f t="shared" si="0"/>
        <v>выхлоп</v>
      </c>
      <c r="B49" s="1">
        <f t="shared" si="21"/>
        <v>0.001</v>
      </c>
      <c r="C49" s="3">
        <f t="shared" si="22"/>
        <v>0.20300000000000004</v>
      </c>
      <c r="D49" s="21">
        <f t="shared" si="23"/>
        <v>0.0015</v>
      </c>
      <c r="E49" s="4">
        <f t="shared" si="24"/>
        <v>306704.6916400658</v>
      </c>
      <c r="F49" s="2">
        <f t="shared" si="25"/>
        <v>0</v>
      </c>
      <c r="G49" s="21">
        <f t="shared" si="26"/>
        <v>0.008993457941544655</v>
      </c>
      <c r="H49" s="15">
        <f t="shared" si="27"/>
        <v>0.10145433075211593</v>
      </c>
      <c r="I49" s="1">
        <f t="shared" si="28"/>
        <v>314.4513840007305</v>
      </c>
      <c r="J49" s="1">
        <f t="shared" si="1"/>
        <v>0.016783802932974892</v>
      </c>
      <c r="K49" s="1">
        <f t="shared" si="12"/>
        <v>0.09933830121900916</v>
      </c>
      <c r="L49" s="2">
        <f t="shared" si="13"/>
        <v>0.9949271126702377</v>
      </c>
      <c r="M49" s="1">
        <f t="shared" si="29"/>
        <v>-3.160249011488555</v>
      </c>
      <c r="N49" s="1">
        <f t="shared" si="30"/>
        <v>266.93675841802616</v>
      </c>
      <c r="O49" s="1">
        <f t="shared" si="31"/>
        <v>45.29597384028989</v>
      </c>
      <c r="P49" s="1">
        <f t="shared" si="17"/>
        <v>3.9725666633809835</v>
      </c>
      <c r="R49" s="9">
        <f t="shared" si="32"/>
        <v>-27.106392941889652</v>
      </c>
      <c r="S49" s="1">
        <f t="shared" si="3"/>
        <v>314.4513840007305</v>
      </c>
      <c r="T49" s="1">
        <f t="shared" si="19"/>
        <v>0.30651595088087374</v>
      </c>
      <c r="U49" s="1">
        <f t="shared" si="33"/>
        <v>5.91870040512932</v>
      </c>
      <c r="V49" s="25">
        <f t="shared" si="34"/>
        <v>0.0017063327457881136</v>
      </c>
    </row>
    <row r="50" spans="1:22" ht="15">
      <c r="A50" s="1" t="str">
        <f t="shared" si="0"/>
        <v>выхлоп</v>
      </c>
      <c r="B50" s="1">
        <f t="shared" si="21"/>
        <v>0.001</v>
      </c>
      <c r="C50" s="3">
        <f t="shared" si="22"/>
        <v>0.20400000000000004</v>
      </c>
      <c r="D50" s="21">
        <f t="shared" si="23"/>
        <v>0.0015</v>
      </c>
      <c r="E50" s="4">
        <f t="shared" si="24"/>
        <v>301040.7708048058</v>
      </c>
      <c r="F50" s="2">
        <f t="shared" si="25"/>
        <v>0</v>
      </c>
      <c r="G50" s="21">
        <f t="shared" si="26"/>
        <v>0.008894119640325646</v>
      </c>
      <c r="H50" s="15">
        <f t="shared" si="27"/>
        <v>0.10135499245089692</v>
      </c>
      <c r="I50" s="1">
        <f t="shared" si="28"/>
        <v>313.8240784078882</v>
      </c>
      <c r="J50" s="1">
        <f t="shared" si="1"/>
        <v>0.01675032057613148</v>
      </c>
      <c r="K50" s="1">
        <f t="shared" si="12"/>
        <v>0.09803304321617935</v>
      </c>
      <c r="L50" s="2">
        <f t="shared" si="13"/>
        <v>0.9939529367185882</v>
      </c>
      <c r="M50" s="1">
        <f t="shared" si="29"/>
        <v>-3.197828631922469</v>
      </c>
      <c r="N50" s="1">
        <f t="shared" si="30"/>
        <v>262.18094668667646</v>
      </c>
      <c r="O50" s="1">
        <f t="shared" si="31"/>
        <v>45.558154786976566</v>
      </c>
      <c r="P50" s="1">
        <f t="shared" si="17"/>
        <v>4.017993727694617</v>
      </c>
      <c r="R50" s="9">
        <f t="shared" si="32"/>
        <v>-28.08708875740706</v>
      </c>
      <c r="S50" s="1">
        <f t="shared" si="3"/>
        <v>313.8240784078882</v>
      </c>
      <c r="T50" s="1">
        <f t="shared" si="19"/>
        <v>0.3030931239215721</v>
      </c>
      <c r="U50" s="1">
        <f t="shared" si="33"/>
        <v>5.8526069856759895</v>
      </c>
      <c r="V50" s="25">
        <f t="shared" si="34"/>
        <v>0.0017232491270637506</v>
      </c>
    </row>
  </sheetData>
  <sheetProtection/>
  <mergeCells count="17">
    <mergeCell ref="M13:M14"/>
    <mergeCell ref="N13:N14"/>
    <mergeCell ref="O13:O14"/>
    <mergeCell ref="P13:P14"/>
    <mergeCell ref="R13:V13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Mikhail.Morozov</dc:creator>
  <cp:keywords/>
  <dc:description/>
  <cp:lastModifiedBy>Mikhail.Morozov</cp:lastModifiedBy>
  <dcterms:created xsi:type="dcterms:W3CDTF">2012-05-28T10:06:30Z</dcterms:created>
  <dcterms:modified xsi:type="dcterms:W3CDTF">2012-05-28T12:31:16Z</dcterms:modified>
  <cp:category/>
  <cp:version/>
  <cp:contentType/>
  <cp:contentStatus/>
</cp:coreProperties>
</file>